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285" yWindow="150" windowWidth="19620" windowHeight="9180" tabRatio="599" activeTab="1"/>
  </bookViews>
  <sheets>
    <sheet name="G Data Contacts" sheetId="1" r:id="rId1"/>
    <sheet name="Total Price List" sheetId="2" r:id="rId2"/>
    <sheet name="Business License" sheetId="4" r:id="rId3"/>
    <sheet name="MUL" sheetId="8" r:id="rId4"/>
    <sheet name="Upgrades" sheetId="5" r:id="rId5"/>
    <sheet name="EDU_GOV" sheetId="6" r:id="rId6"/>
    <sheet name="calculator_license &amp; GOV" sheetId="9" r:id="rId7"/>
    <sheet name="calculator_PM" sheetId="14" r:id="rId8"/>
    <sheet name="calculator_cross" sheetId="10" r:id="rId9"/>
  </sheets>
  <externalReferences>
    <externalReference r:id="rId10"/>
  </externalReferences>
  <definedNames>
    <definedName name="_xlnm._FilterDatabase" localSheetId="2" hidden="1">'Business License'!$A$3:$I$418</definedName>
    <definedName name="_xlnm._FilterDatabase" localSheetId="5" hidden="1">EDU_GOV!$A$3:$I$162</definedName>
    <definedName name="_xlnm._FilterDatabase" localSheetId="3" hidden="1">MUL!$A$3:$I$3</definedName>
    <definedName name="_xlnm._FilterDatabase" localSheetId="1" hidden="1">'Total Price List'!$A$7:$I$798</definedName>
    <definedName name="_xlnm._FilterDatabase" localSheetId="4" hidden="1">Upgrades!$A$3:$I$205</definedName>
    <definedName name="AktionA">'Total Price List'!#REF!,'Total Price List'!#REF!</definedName>
    <definedName name="AktionB">#REF!,#REF!</definedName>
    <definedName name="consumer2014">#REF!</definedName>
    <definedName name="Cross">'Total Price List'!$A$436:$J$585</definedName>
    <definedName name="Cross2">Upgrades!$A$20:$J$169</definedName>
    <definedName name="Generation">'Total Price List'!#REF!</definedName>
    <definedName name="Geschenk1">'Total Price List'!#REF!</definedName>
    <definedName name="Geschenk2">#REF!</definedName>
    <definedName name="Patch">'Total Price List'!$727:$760</definedName>
    <definedName name="Patch2">'Business License'!$A$349:$J$367</definedName>
    <definedName name="SBS">'Business License'!#REF!,'Business License'!#REF!</definedName>
    <definedName name="SBSBOx">'Total Price List'!#REF!</definedName>
    <definedName name="SBSneu">'Total Price List'!#REF!,'Total Price List'!#REF!</definedName>
  </definedNames>
  <calcPr calcId="152511"/>
</workbook>
</file>

<file path=xl/calcChain.xml><?xml version="1.0" encoding="utf-8"?>
<calcChain xmlns="http://schemas.openxmlformats.org/spreadsheetml/2006/main">
  <c r="I97" i="6" l="1"/>
  <c r="A160" i="6" l="1"/>
  <c r="B160" i="6"/>
  <c r="D160" i="6"/>
  <c r="E160" i="6"/>
  <c r="F160" i="6"/>
  <c r="G160" i="6"/>
  <c r="H160" i="6"/>
  <c r="I160" i="6"/>
  <c r="A161" i="6"/>
  <c r="B161" i="6"/>
  <c r="D161" i="6"/>
  <c r="E161" i="6"/>
  <c r="F161" i="6"/>
  <c r="G161" i="6"/>
  <c r="H161" i="6"/>
  <c r="I161" i="6"/>
  <c r="A162" i="6"/>
  <c r="B162" i="6"/>
  <c r="D162" i="6"/>
  <c r="E162" i="6"/>
  <c r="F162" i="6"/>
  <c r="G162" i="6"/>
  <c r="H162" i="6"/>
  <c r="I162" i="6"/>
  <c r="A157" i="6"/>
  <c r="B157" i="6"/>
  <c r="D157" i="6"/>
  <c r="E157" i="6"/>
  <c r="F157" i="6"/>
  <c r="G157" i="6"/>
  <c r="H157" i="6"/>
  <c r="I157" i="6"/>
  <c r="A158" i="6"/>
  <c r="B158" i="6"/>
  <c r="D158" i="6"/>
  <c r="E158" i="6"/>
  <c r="F158" i="6"/>
  <c r="G158" i="6"/>
  <c r="H158" i="6"/>
  <c r="I158" i="6"/>
  <c r="A159" i="6"/>
  <c r="B159" i="6"/>
  <c r="D159" i="6"/>
  <c r="E159" i="6"/>
  <c r="F159" i="6"/>
  <c r="G159" i="6"/>
  <c r="H159" i="6"/>
  <c r="I159" i="6"/>
  <c r="A156" i="6"/>
  <c r="B156" i="6"/>
  <c r="D156" i="6"/>
  <c r="E156" i="6"/>
  <c r="F156" i="6"/>
  <c r="G156" i="6"/>
  <c r="H156" i="6"/>
  <c r="I156" i="6"/>
  <c r="A153" i="6"/>
  <c r="B153" i="6"/>
  <c r="D153" i="6"/>
  <c r="E153" i="6"/>
  <c r="F153" i="6"/>
  <c r="G153" i="6"/>
  <c r="H153" i="6"/>
  <c r="I153" i="6"/>
  <c r="A154" i="6"/>
  <c r="B154" i="6"/>
  <c r="D154" i="6"/>
  <c r="E154" i="6"/>
  <c r="F154" i="6"/>
  <c r="G154" i="6"/>
  <c r="H154" i="6"/>
  <c r="I154" i="6"/>
  <c r="A155" i="6"/>
  <c r="B155" i="6"/>
  <c r="D155" i="6"/>
  <c r="E155" i="6"/>
  <c r="F155" i="6"/>
  <c r="G155" i="6"/>
  <c r="H155" i="6"/>
  <c r="I155" i="6"/>
  <c r="A150" i="6"/>
  <c r="B150" i="6"/>
  <c r="D150" i="6"/>
  <c r="E150" i="6"/>
  <c r="F150" i="6"/>
  <c r="G150" i="6"/>
  <c r="H150" i="6"/>
  <c r="I150" i="6"/>
  <c r="A151" i="6"/>
  <c r="B151" i="6"/>
  <c r="D151" i="6"/>
  <c r="E151" i="6"/>
  <c r="F151" i="6"/>
  <c r="G151" i="6"/>
  <c r="H151" i="6"/>
  <c r="I151" i="6"/>
  <c r="A152" i="6"/>
  <c r="B152" i="6"/>
  <c r="D152" i="6"/>
  <c r="E152" i="6"/>
  <c r="F152" i="6"/>
  <c r="G152" i="6"/>
  <c r="H152" i="6"/>
  <c r="I152" i="6"/>
  <c r="A142" i="6"/>
  <c r="B142" i="6"/>
  <c r="D142" i="6"/>
  <c r="E142" i="6"/>
  <c r="F142" i="6"/>
  <c r="G142" i="6"/>
  <c r="H142" i="6"/>
  <c r="I142" i="6"/>
  <c r="A143" i="6"/>
  <c r="B143" i="6"/>
  <c r="D143" i="6"/>
  <c r="E143" i="6"/>
  <c r="F143" i="6"/>
  <c r="G143" i="6"/>
  <c r="H143" i="6"/>
  <c r="I143" i="6"/>
  <c r="A144" i="6"/>
  <c r="B144" i="6"/>
  <c r="D144" i="6"/>
  <c r="E144" i="6"/>
  <c r="F144" i="6"/>
  <c r="G144" i="6"/>
  <c r="H144" i="6"/>
  <c r="I144" i="6"/>
  <c r="A145" i="6"/>
  <c r="B145" i="6"/>
  <c r="D145" i="6"/>
  <c r="E145" i="6"/>
  <c r="F145" i="6"/>
  <c r="G145" i="6"/>
  <c r="H145" i="6"/>
  <c r="I145" i="6"/>
  <c r="A146" i="6"/>
  <c r="B146" i="6"/>
  <c r="D146" i="6"/>
  <c r="E146" i="6"/>
  <c r="F146" i="6"/>
  <c r="G146" i="6"/>
  <c r="H146" i="6"/>
  <c r="I146" i="6"/>
  <c r="A147" i="6"/>
  <c r="B147" i="6"/>
  <c r="D147" i="6"/>
  <c r="E147" i="6"/>
  <c r="F147" i="6"/>
  <c r="G147" i="6"/>
  <c r="H147" i="6"/>
  <c r="I147" i="6"/>
  <c r="A148" i="6"/>
  <c r="B148" i="6"/>
  <c r="D148" i="6"/>
  <c r="E148" i="6"/>
  <c r="F148" i="6"/>
  <c r="G148" i="6"/>
  <c r="H148" i="6"/>
  <c r="I148" i="6"/>
  <c r="A149" i="6"/>
  <c r="B149" i="6"/>
  <c r="D149" i="6"/>
  <c r="E149" i="6"/>
  <c r="F149" i="6"/>
  <c r="G149" i="6"/>
  <c r="H149" i="6"/>
  <c r="I149" i="6"/>
  <c r="A129" i="6"/>
  <c r="B129" i="6"/>
  <c r="D129" i="6"/>
  <c r="E129" i="6"/>
  <c r="F129" i="6"/>
  <c r="G129" i="6"/>
  <c r="H129" i="6"/>
  <c r="I129" i="6"/>
  <c r="A130" i="6"/>
  <c r="B130" i="6"/>
  <c r="D130" i="6"/>
  <c r="E130" i="6"/>
  <c r="F130" i="6"/>
  <c r="G130" i="6"/>
  <c r="H130" i="6"/>
  <c r="I130" i="6"/>
  <c r="A131" i="6"/>
  <c r="B131" i="6"/>
  <c r="D131" i="6"/>
  <c r="E131" i="6"/>
  <c r="F131" i="6"/>
  <c r="G131" i="6"/>
  <c r="H131" i="6"/>
  <c r="I131" i="6"/>
  <c r="A132" i="6"/>
  <c r="B132" i="6"/>
  <c r="D132" i="6"/>
  <c r="E132" i="6"/>
  <c r="F132" i="6"/>
  <c r="G132" i="6"/>
  <c r="H132" i="6"/>
  <c r="I132" i="6"/>
  <c r="A133" i="6"/>
  <c r="B133" i="6"/>
  <c r="D133" i="6"/>
  <c r="E133" i="6"/>
  <c r="F133" i="6"/>
  <c r="G133" i="6"/>
  <c r="H133" i="6"/>
  <c r="I133" i="6"/>
  <c r="A134" i="6"/>
  <c r="B134" i="6"/>
  <c r="D134" i="6"/>
  <c r="E134" i="6"/>
  <c r="F134" i="6"/>
  <c r="G134" i="6"/>
  <c r="H134" i="6"/>
  <c r="I134" i="6"/>
  <c r="A135" i="6"/>
  <c r="A136" i="6"/>
  <c r="B136" i="6"/>
  <c r="D136" i="6"/>
  <c r="E136" i="6"/>
  <c r="F136" i="6"/>
  <c r="G136" i="6"/>
  <c r="H136" i="6"/>
  <c r="I136" i="6"/>
  <c r="A137" i="6"/>
  <c r="B137" i="6"/>
  <c r="D137" i="6"/>
  <c r="E137" i="6"/>
  <c r="F137" i="6"/>
  <c r="G137" i="6"/>
  <c r="H137" i="6"/>
  <c r="I137" i="6"/>
  <c r="A138" i="6"/>
  <c r="B138" i="6"/>
  <c r="D138" i="6"/>
  <c r="E138" i="6"/>
  <c r="F138" i="6"/>
  <c r="G138" i="6"/>
  <c r="H138" i="6"/>
  <c r="I138" i="6"/>
  <c r="A139" i="6"/>
  <c r="B139" i="6"/>
  <c r="D139" i="6"/>
  <c r="E139" i="6"/>
  <c r="F139" i="6"/>
  <c r="G139" i="6"/>
  <c r="H139" i="6"/>
  <c r="I139" i="6"/>
  <c r="A140" i="6"/>
  <c r="B140" i="6"/>
  <c r="D140" i="6"/>
  <c r="E140" i="6"/>
  <c r="F140" i="6"/>
  <c r="G140" i="6"/>
  <c r="H140" i="6"/>
  <c r="I140" i="6"/>
  <c r="A141" i="6"/>
  <c r="B141" i="6"/>
  <c r="D141" i="6"/>
  <c r="E141" i="6"/>
  <c r="F141" i="6"/>
  <c r="G141" i="6"/>
  <c r="H141" i="6"/>
  <c r="I141" i="6"/>
  <c r="A111" i="6"/>
  <c r="B111" i="6"/>
  <c r="D111" i="6"/>
  <c r="E111" i="6"/>
  <c r="F111" i="6"/>
  <c r="G111" i="6"/>
  <c r="H111" i="6"/>
  <c r="I111" i="6"/>
  <c r="A112" i="6"/>
  <c r="B112" i="6"/>
  <c r="D112" i="6"/>
  <c r="E112" i="6"/>
  <c r="F112" i="6"/>
  <c r="G112" i="6"/>
  <c r="H112" i="6"/>
  <c r="I112" i="6"/>
  <c r="A113" i="6"/>
  <c r="B113" i="6"/>
  <c r="D113" i="6"/>
  <c r="E113" i="6"/>
  <c r="F113" i="6"/>
  <c r="G113" i="6"/>
  <c r="H113" i="6"/>
  <c r="I113" i="6"/>
  <c r="A114" i="6"/>
  <c r="B114" i="6"/>
  <c r="D114" i="6"/>
  <c r="E114" i="6"/>
  <c r="F114" i="6"/>
  <c r="G114" i="6"/>
  <c r="H114" i="6"/>
  <c r="I114" i="6"/>
  <c r="A115" i="6"/>
  <c r="B115" i="6"/>
  <c r="D115" i="6"/>
  <c r="E115" i="6"/>
  <c r="F115" i="6"/>
  <c r="G115" i="6"/>
  <c r="H115" i="6"/>
  <c r="I115" i="6"/>
  <c r="A116" i="6"/>
  <c r="B116" i="6"/>
  <c r="D116" i="6"/>
  <c r="E116" i="6"/>
  <c r="F116" i="6"/>
  <c r="G116" i="6"/>
  <c r="H116" i="6"/>
  <c r="I116" i="6"/>
  <c r="A117" i="6"/>
  <c r="B117" i="6"/>
  <c r="D117" i="6"/>
  <c r="E117" i="6"/>
  <c r="F117" i="6"/>
  <c r="G117" i="6"/>
  <c r="H117" i="6"/>
  <c r="I117" i="6"/>
  <c r="A118" i="6"/>
  <c r="B118" i="6"/>
  <c r="D118" i="6"/>
  <c r="E118" i="6"/>
  <c r="F118" i="6"/>
  <c r="G118" i="6"/>
  <c r="H118" i="6"/>
  <c r="I118" i="6"/>
  <c r="A119" i="6"/>
  <c r="B119" i="6"/>
  <c r="D119" i="6"/>
  <c r="E119" i="6"/>
  <c r="F119" i="6"/>
  <c r="G119" i="6"/>
  <c r="H119" i="6"/>
  <c r="I119" i="6"/>
  <c r="A120" i="6"/>
  <c r="B120" i="6"/>
  <c r="D120" i="6"/>
  <c r="E120" i="6"/>
  <c r="F120" i="6"/>
  <c r="G120" i="6"/>
  <c r="H120" i="6"/>
  <c r="I120" i="6"/>
  <c r="A121" i="6"/>
  <c r="B121" i="6"/>
  <c r="D121" i="6"/>
  <c r="E121" i="6"/>
  <c r="F121" i="6"/>
  <c r="G121" i="6"/>
  <c r="H121" i="6"/>
  <c r="I121" i="6"/>
  <c r="A122" i="6"/>
  <c r="B122" i="6"/>
  <c r="D122" i="6"/>
  <c r="E122" i="6"/>
  <c r="F122" i="6"/>
  <c r="G122" i="6"/>
  <c r="H122" i="6"/>
  <c r="I122" i="6"/>
  <c r="A123" i="6"/>
  <c r="B123" i="6"/>
  <c r="D123" i="6"/>
  <c r="E123" i="6"/>
  <c r="F123" i="6"/>
  <c r="G123" i="6"/>
  <c r="H123" i="6"/>
  <c r="I123" i="6"/>
  <c r="A124" i="6"/>
  <c r="B124" i="6"/>
  <c r="D124" i="6"/>
  <c r="E124" i="6"/>
  <c r="F124" i="6"/>
  <c r="G124" i="6"/>
  <c r="H124" i="6"/>
  <c r="I124" i="6"/>
  <c r="A125" i="6"/>
  <c r="B125" i="6"/>
  <c r="D125" i="6"/>
  <c r="E125" i="6"/>
  <c r="F125" i="6"/>
  <c r="G125" i="6"/>
  <c r="H125" i="6"/>
  <c r="I125" i="6"/>
  <c r="A126" i="6"/>
  <c r="B126" i="6"/>
  <c r="D126" i="6"/>
  <c r="E126" i="6"/>
  <c r="F126" i="6"/>
  <c r="G126" i="6"/>
  <c r="H126" i="6"/>
  <c r="I126" i="6"/>
  <c r="A127" i="6"/>
  <c r="B127" i="6"/>
  <c r="D127" i="6"/>
  <c r="E127" i="6"/>
  <c r="F127" i="6"/>
  <c r="G127" i="6"/>
  <c r="H127" i="6"/>
  <c r="I127" i="6"/>
  <c r="A128" i="6"/>
  <c r="B128" i="6"/>
  <c r="D128" i="6"/>
  <c r="E128" i="6"/>
  <c r="F128" i="6"/>
  <c r="G128" i="6"/>
  <c r="H128" i="6"/>
  <c r="I128" i="6"/>
  <c r="A110" i="6"/>
  <c r="E96" i="10" l="1"/>
  <c r="D96" i="10"/>
  <c r="C96" i="10"/>
  <c r="E95" i="10"/>
  <c r="D95" i="10"/>
  <c r="C95" i="10"/>
  <c r="E94" i="10"/>
  <c r="D94" i="10"/>
  <c r="C94" i="10"/>
  <c r="E93" i="10"/>
  <c r="D93" i="10"/>
  <c r="C93" i="10"/>
  <c r="E92" i="10"/>
  <c r="D92" i="10"/>
  <c r="C92" i="10"/>
  <c r="E91" i="10"/>
  <c r="D91" i="10"/>
  <c r="C91" i="10"/>
  <c r="E90" i="10"/>
  <c r="D90" i="10"/>
  <c r="L90" i="10" s="1"/>
  <c r="C90" i="10"/>
  <c r="E89" i="10"/>
  <c r="D89" i="10"/>
  <c r="C89" i="10"/>
  <c r="E80" i="10"/>
  <c r="D80" i="10"/>
  <c r="C80" i="10"/>
  <c r="E79" i="10"/>
  <c r="D79" i="10"/>
  <c r="C79" i="10"/>
  <c r="E78" i="10"/>
  <c r="D78" i="10"/>
  <c r="C78" i="10"/>
  <c r="E77" i="10"/>
  <c r="D77" i="10"/>
  <c r="C77" i="10"/>
  <c r="E76" i="10"/>
  <c r="D76" i="10"/>
  <c r="C76" i="10"/>
  <c r="E75" i="10"/>
  <c r="D75" i="10"/>
  <c r="C75" i="10"/>
  <c r="E74" i="10"/>
  <c r="D74" i="10"/>
  <c r="D82" i="10" s="1"/>
  <c r="D83" i="10" s="1"/>
  <c r="C74" i="10"/>
  <c r="E73" i="10"/>
  <c r="D73" i="10"/>
  <c r="C73" i="10"/>
  <c r="E64" i="10"/>
  <c r="D64" i="10"/>
  <c r="C64" i="10"/>
  <c r="E63" i="10"/>
  <c r="D63" i="10"/>
  <c r="C63" i="10"/>
  <c r="E62" i="10"/>
  <c r="D62" i="10"/>
  <c r="C62" i="10"/>
  <c r="E61" i="10"/>
  <c r="D61" i="10"/>
  <c r="C61" i="10"/>
  <c r="E60" i="10"/>
  <c r="D60" i="10"/>
  <c r="C60" i="10"/>
  <c r="E59" i="10"/>
  <c r="D59" i="10"/>
  <c r="C59" i="10"/>
  <c r="E58" i="10"/>
  <c r="D58" i="10"/>
  <c r="M58" i="10" s="1"/>
  <c r="N58" i="10" s="1"/>
  <c r="C58" i="10"/>
  <c r="E57" i="10"/>
  <c r="D57" i="10"/>
  <c r="C57" i="10"/>
  <c r="E48" i="10"/>
  <c r="D48" i="10"/>
  <c r="C48" i="10"/>
  <c r="E47" i="10"/>
  <c r="D47" i="10"/>
  <c r="C47" i="10"/>
  <c r="E46" i="10"/>
  <c r="D46" i="10"/>
  <c r="C46" i="10"/>
  <c r="E45" i="10"/>
  <c r="D45" i="10"/>
  <c r="C45" i="10"/>
  <c r="E44" i="10"/>
  <c r="D44" i="10"/>
  <c r="C44" i="10"/>
  <c r="E43" i="10"/>
  <c r="D43" i="10"/>
  <c r="C43" i="10"/>
  <c r="E42" i="10"/>
  <c r="D42" i="10"/>
  <c r="M42" i="10" s="1"/>
  <c r="N42" i="10" s="1"/>
  <c r="C42" i="10"/>
  <c r="E41" i="10"/>
  <c r="D41" i="10"/>
  <c r="C41" i="10"/>
  <c r="E32" i="10"/>
  <c r="D32" i="10"/>
  <c r="C32" i="10"/>
  <c r="E31" i="10"/>
  <c r="D31" i="10"/>
  <c r="C31" i="10"/>
  <c r="E30" i="10"/>
  <c r="D30" i="10"/>
  <c r="C30" i="10"/>
  <c r="E29" i="10"/>
  <c r="D29" i="10"/>
  <c r="C29" i="10"/>
  <c r="E28" i="10"/>
  <c r="D28" i="10"/>
  <c r="C28" i="10"/>
  <c r="E27" i="10"/>
  <c r="D27" i="10"/>
  <c r="C27" i="10"/>
  <c r="E26" i="10"/>
  <c r="D26" i="10"/>
  <c r="L26" i="10" s="1"/>
  <c r="C26" i="10"/>
  <c r="E25" i="10"/>
  <c r="D25" i="10"/>
  <c r="C25" i="10"/>
  <c r="E16" i="10"/>
  <c r="D16" i="10"/>
  <c r="C16" i="10"/>
  <c r="E15" i="10"/>
  <c r="D15" i="10"/>
  <c r="C15" i="10"/>
  <c r="E14" i="10"/>
  <c r="D14" i="10"/>
  <c r="C14" i="10"/>
  <c r="E13" i="10"/>
  <c r="D13" i="10"/>
  <c r="C13" i="10"/>
  <c r="E12" i="10"/>
  <c r="D12" i="10"/>
  <c r="C12" i="10"/>
  <c r="E11" i="10"/>
  <c r="D11" i="10"/>
  <c r="C11" i="10"/>
  <c r="E10" i="10"/>
  <c r="L12" i="10" s="1"/>
  <c r="D10" i="10"/>
  <c r="M10" i="10" s="1"/>
  <c r="N10" i="10" s="1"/>
  <c r="C10" i="10"/>
  <c r="E9" i="10"/>
  <c r="D9" i="10"/>
  <c r="C9" i="10"/>
  <c r="J92" i="10"/>
  <c r="I92" i="10"/>
  <c r="J90" i="10"/>
  <c r="I90" i="10"/>
  <c r="J88" i="10"/>
  <c r="I88" i="10"/>
  <c r="J76" i="10"/>
  <c r="I76" i="10"/>
  <c r="J74" i="10"/>
  <c r="I74" i="10"/>
  <c r="J72" i="10"/>
  <c r="I72" i="10"/>
  <c r="J60" i="10"/>
  <c r="I60" i="10"/>
  <c r="J58" i="10"/>
  <c r="I58" i="10"/>
  <c r="J56" i="10"/>
  <c r="I56" i="10"/>
  <c r="J44" i="10"/>
  <c r="I44" i="10"/>
  <c r="J42" i="10"/>
  <c r="I42" i="10"/>
  <c r="J40" i="10"/>
  <c r="I40" i="10"/>
  <c r="J28" i="10"/>
  <c r="I28" i="10"/>
  <c r="J26" i="10"/>
  <c r="I26" i="10"/>
  <c r="J24" i="10"/>
  <c r="I24" i="10"/>
  <c r="J12" i="10"/>
  <c r="I12" i="10"/>
  <c r="J10" i="10"/>
  <c r="I10" i="10"/>
  <c r="J8" i="10"/>
  <c r="I8" i="10"/>
  <c r="M92" i="10"/>
  <c r="N92" i="10" s="1"/>
  <c r="L92" i="10"/>
  <c r="M90" i="10"/>
  <c r="N90" i="10" s="1"/>
  <c r="M88" i="10"/>
  <c r="N88" i="10" s="1"/>
  <c r="L88" i="10"/>
  <c r="M76" i="10"/>
  <c r="N76" i="10" s="1"/>
  <c r="L76" i="10"/>
  <c r="M74" i="10"/>
  <c r="N74" i="10" s="1"/>
  <c r="M72" i="10"/>
  <c r="N72" i="10" s="1"/>
  <c r="L72" i="10"/>
  <c r="M60" i="10"/>
  <c r="N60" i="10" s="1"/>
  <c r="L60" i="10"/>
  <c r="L58" i="10"/>
  <c r="M56" i="10"/>
  <c r="N56" i="10" s="1"/>
  <c r="L56" i="10"/>
  <c r="M44" i="10"/>
  <c r="N44" i="10" s="1"/>
  <c r="L44" i="10"/>
  <c r="L42" i="10"/>
  <c r="M40" i="10"/>
  <c r="N40" i="10" s="1"/>
  <c r="M28" i="10"/>
  <c r="N28" i="10" s="1"/>
  <c r="L28" i="10"/>
  <c r="M26" i="10"/>
  <c r="N26" i="10" s="1"/>
  <c r="M24" i="10"/>
  <c r="N24" i="10" s="1"/>
  <c r="L24" i="10"/>
  <c r="M12" i="10"/>
  <c r="N12" i="10" s="1"/>
  <c r="M8" i="10"/>
  <c r="N8" i="10" s="1"/>
  <c r="L8" i="10"/>
  <c r="B98" i="10"/>
  <c r="E98" i="10"/>
  <c r="E99" i="10" s="1"/>
  <c r="C98" i="10"/>
  <c r="C99" i="10" s="1"/>
  <c r="B82" i="10"/>
  <c r="E82" i="10"/>
  <c r="E83" i="10" s="1"/>
  <c r="C82" i="10"/>
  <c r="C83" i="10" s="1"/>
  <c r="B66" i="10"/>
  <c r="E66" i="10"/>
  <c r="E67" i="10" s="1"/>
  <c r="C66" i="10"/>
  <c r="C67" i="10" s="1"/>
  <c r="B50" i="10"/>
  <c r="E50" i="10"/>
  <c r="E51" i="10" s="1"/>
  <c r="C50" i="10"/>
  <c r="C51" i="10" s="1"/>
  <c r="L40" i="10" s="1"/>
  <c r="E34" i="10"/>
  <c r="E35" i="10" s="1"/>
  <c r="B34" i="10"/>
  <c r="C34" i="10"/>
  <c r="C35" i="10" s="1"/>
  <c r="B18" i="10"/>
  <c r="C18" i="10"/>
  <c r="C19" i="10" s="1"/>
  <c r="L74" i="10" l="1"/>
  <c r="D34" i="10"/>
  <c r="D35" i="10" s="1"/>
  <c r="D50" i="10"/>
  <c r="D51" i="10" s="1"/>
  <c r="D66" i="10"/>
  <c r="D67" i="10" s="1"/>
  <c r="D98" i="10"/>
  <c r="D99" i="10" s="1"/>
  <c r="L10" i="10"/>
  <c r="D18" i="10"/>
  <c r="D19" i="10" s="1"/>
  <c r="E18" i="10"/>
  <c r="E19" i="10" s="1"/>
  <c r="D8" i="14" l="1"/>
  <c r="G9" i="9"/>
  <c r="I124" i="9"/>
  <c r="H124" i="9"/>
  <c r="G124" i="9"/>
  <c r="E124" i="9"/>
  <c r="D124" i="9"/>
  <c r="C124" i="9"/>
  <c r="I123" i="9"/>
  <c r="H123" i="9"/>
  <c r="G123" i="9"/>
  <c r="E123" i="9"/>
  <c r="D123" i="9"/>
  <c r="C123" i="9"/>
  <c r="I122" i="9"/>
  <c r="H122" i="9"/>
  <c r="G122" i="9"/>
  <c r="E122" i="9"/>
  <c r="D122" i="9"/>
  <c r="C122" i="9"/>
  <c r="I121" i="9"/>
  <c r="H121" i="9"/>
  <c r="G121" i="9"/>
  <c r="E121" i="9"/>
  <c r="D121" i="9"/>
  <c r="C121" i="9"/>
  <c r="I120" i="9"/>
  <c r="H120" i="9"/>
  <c r="G120" i="9"/>
  <c r="E120" i="9"/>
  <c r="D120" i="9"/>
  <c r="C120" i="9"/>
  <c r="I119" i="9"/>
  <c r="H119" i="9"/>
  <c r="G119" i="9"/>
  <c r="E119" i="9"/>
  <c r="D119" i="9"/>
  <c r="C119" i="9"/>
  <c r="I118" i="9"/>
  <c r="H118" i="9"/>
  <c r="G118" i="9"/>
  <c r="E118" i="9"/>
  <c r="D118" i="9"/>
  <c r="C118" i="9"/>
  <c r="I117" i="9"/>
  <c r="H117" i="9"/>
  <c r="G117" i="9"/>
  <c r="E117" i="9"/>
  <c r="D117" i="9"/>
  <c r="C117" i="9"/>
  <c r="I107" i="9"/>
  <c r="H107" i="9"/>
  <c r="G107" i="9"/>
  <c r="E107" i="9"/>
  <c r="D107" i="9"/>
  <c r="C107" i="9"/>
  <c r="I106" i="9"/>
  <c r="H106" i="9"/>
  <c r="G106" i="9"/>
  <c r="E106" i="9"/>
  <c r="D106" i="9"/>
  <c r="C106" i="9"/>
  <c r="I105" i="9"/>
  <c r="H105" i="9"/>
  <c r="G105" i="9"/>
  <c r="E105" i="9"/>
  <c r="D105" i="9"/>
  <c r="C105" i="9"/>
  <c r="I104" i="9"/>
  <c r="H104" i="9"/>
  <c r="G104" i="9"/>
  <c r="E104" i="9"/>
  <c r="D104" i="9"/>
  <c r="C104" i="9"/>
  <c r="I103" i="9"/>
  <c r="H103" i="9"/>
  <c r="G103" i="9"/>
  <c r="E103" i="9"/>
  <c r="D103" i="9"/>
  <c r="C103" i="9"/>
  <c r="I102" i="9"/>
  <c r="H102" i="9"/>
  <c r="G102" i="9"/>
  <c r="E102" i="9"/>
  <c r="D102" i="9"/>
  <c r="C102" i="9"/>
  <c r="I101" i="9"/>
  <c r="H101" i="9"/>
  <c r="G101" i="9"/>
  <c r="E101" i="9"/>
  <c r="D101" i="9"/>
  <c r="C101" i="9"/>
  <c r="I100" i="9"/>
  <c r="H100" i="9"/>
  <c r="G100" i="9"/>
  <c r="E100" i="9"/>
  <c r="D100" i="9"/>
  <c r="C100" i="9"/>
  <c r="I99" i="9"/>
  <c r="H99" i="9"/>
  <c r="G99" i="9"/>
  <c r="E99" i="9"/>
  <c r="D99" i="9"/>
  <c r="C99" i="9"/>
  <c r="I89" i="9"/>
  <c r="H89" i="9"/>
  <c r="G89" i="9"/>
  <c r="E89" i="9"/>
  <c r="D89" i="9"/>
  <c r="C89" i="9"/>
  <c r="I88" i="9"/>
  <c r="H88" i="9"/>
  <c r="G88" i="9"/>
  <c r="E88" i="9"/>
  <c r="D88" i="9"/>
  <c r="C88" i="9"/>
  <c r="I87" i="9"/>
  <c r="H87" i="9"/>
  <c r="G87" i="9"/>
  <c r="E87" i="9"/>
  <c r="D87" i="9"/>
  <c r="C87" i="9"/>
  <c r="I86" i="9"/>
  <c r="H86" i="9"/>
  <c r="G86" i="9"/>
  <c r="E86" i="9"/>
  <c r="D86" i="9"/>
  <c r="C86" i="9"/>
  <c r="I85" i="9"/>
  <c r="H85" i="9"/>
  <c r="G85" i="9"/>
  <c r="E85" i="9"/>
  <c r="D85" i="9"/>
  <c r="C85" i="9"/>
  <c r="I84" i="9"/>
  <c r="H84" i="9"/>
  <c r="G84" i="9"/>
  <c r="E84" i="9"/>
  <c r="D84" i="9"/>
  <c r="C84" i="9"/>
  <c r="I83" i="9"/>
  <c r="H83" i="9"/>
  <c r="G83" i="9"/>
  <c r="E83" i="9"/>
  <c r="D83" i="9"/>
  <c r="C83" i="9"/>
  <c r="I82" i="9"/>
  <c r="H82" i="9"/>
  <c r="G82" i="9"/>
  <c r="E82" i="9"/>
  <c r="D82" i="9"/>
  <c r="C82" i="9"/>
  <c r="I81" i="9"/>
  <c r="H81" i="9"/>
  <c r="G81" i="9"/>
  <c r="E81" i="9"/>
  <c r="D81" i="9"/>
  <c r="C81" i="9"/>
  <c r="I71" i="9"/>
  <c r="H71" i="9"/>
  <c r="G71" i="9"/>
  <c r="E71" i="9"/>
  <c r="D71" i="9"/>
  <c r="C71" i="9"/>
  <c r="I70" i="9"/>
  <c r="H70" i="9"/>
  <c r="G70" i="9"/>
  <c r="E70" i="9"/>
  <c r="D70" i="9"/>
  <c r="C70" i="9"/>
  <c r="I69" i="9"/>
  <c r="H69" i="9"/>
  <c r="G69" i="9"/>
  <c r="E69" i="9"/>
  <c r="D69" i="9"/>
  <c r="C69" i="9"/>
  <c r="I68" i="9"/>
  <c r="H68" i="9"/>
  <c r="G68" i="9"/>
  <c r="E68" i="9"/>
  <c r="D68" i="9"/>
  <c r="C68" i="9"/>
  <c r="I67" i="9"/>
  <c r="H67" i="9"/>
  <c r="G67" i="9"/>
  <c r="E67" i="9"/>
  <c r="D67" i="9"/>
  <c r="C67" i="9"/>
  <c r="I66" i="9"/>
  <c r="H66" i="9"/>
  <c r="G66" i="9"/>
  <c r="E66" i="9"/>
  <c r="D66" i="9"/>
  <c r="C66" i="9"/>
  <c r="I65" i="9"/>
  <c r="H65" i="9"/>
  <c r="G65" i="9"/>
  <c r="E65" i="9"/>
  <c r="D65" i="9"/>
  <c r="C65" i="9"/>
  <c r="I64" i="9"/>
  <c r="H64" i="9"/>
  <c r="G64" i="9"/>
  <c r="E64" i="9"/>
  <c r="D64" i="9"/>
  <c r="C64" i="9"/>
  <c r="I63" i="9"/>
  <c r="H63" i="9"/>
  <c r="G63" i="9"/>
  <c r="E63" i="9"/>
  <c r="D63" i="9"/>
  <c r="C63" i="9"/>
  <c r="I53" i="9"/>
  <c r="H53" i="9"/>
  <c r="G53" i="9"/>
  <c r="E53" i="9"/>
  <c r="D53" i="9"/>
  <c r="C53" i="9"/>
  <c r="I52" i="9"/>
  <c r="H52" i="9"/>
  <c r="G52" i="9"/>
  <c r="E52" i="9"/>
  <c r="D52" i="9"/>
  <c r="C52" i="9"/>
  <c r="I51" i="9"/>
  <c r="H51" i="9"/>
  <c r="G51" i="9"/>
  <c r="E51" i="9"/>
  <c r="D51" i="9"/>
  <c r="C51" i="9"/>
  <c r="I50" i="9"/>
  <c r="H50" i="9"/>
  <c r="G50" i="9"/>
  <c r="E50" i="9"/>
  <c r="D50" i="9"/>
  <c r="C50" i="9"/>
  <c r="I49" i="9"/>
  <c r="H49" i="9"/>
  <c r="G49" i="9"/>
  <c r="E49" i="9"/>
  <c r="D49" i="9"/>
  <c r="C49" i="9"/>
  <c r="I48" i="9"/>
  <c r="H48" i="9"/>
  <c r="G48" i="9"/>
  <c r="E48" i="9"/>
  <c r="D48" i="9"/>
  <c r="C48" i="9"/>
  <c r="I47" i="9"/>
  <c r="H47" i="9"/>
  <c r="G47" i="9"/>
  <c r="E47" i="9"/>
  <c r="D47" i="9"/>
  <c r="C47" i="9"/>
  <c r="I46" i="9"/>
  <c r="H46" i="9"/>
  <c r="G46" i="9"/>
  <c r="E46" i="9"/>
  <c r="D46" i="9"/>
  <c r="C46" i="9"/>
  <c r="I45" i="9"/>
  <c r="H45" i="9"/>
  <c r="G45" i="9"/>
  <c r="E45" i="9"/>
  <c r="D45" i="9"/>
  <c r="C45" i="9"/>
  <c r="I35" i="9"/>
  <c r="H35" i="9"/>
  <c r="G35" i="9"/>
  <c r="E35" i="9"/>
  <c r="D35" i="9"/>
  <c r="I34" i="9"/>
  <c r="H34" i="9"/>
  <c r="G34" i="9"/>
  <c r="E34" i="9"/>
  <c r="D34" i="9"/>
  <c r="I33" i="9"/>
  <c r="H33" i="9"/>
  <c r="G33" i="9"/>
  <c r="E33" i="9"/>
  <c r="D33" i="9"/>
  <c r="I32" i="9"/>
  <c r="H32" i="9"/>
  <c r="G32" i="9"/>
  <c r="E32" i="9"/>
  <c r="D32" i="9"/>
  <c r="I31" i="9"/>
  <c r="H31" i="9"/>
  <c r="G31" i="9"/>
  <c r="E31" i="9"/>
  <c r="D31" i="9"/>
  <c r="I30" i="9"/>
  <c r="H30" i="9"/>
  <c r="G30" i="9"/>
  <c r="E30" i="9"/>
  <c r="D30" i="9"/>
  <c r="I29" i="9"/>
  <c r="H29" i="9"/>
  <c r="G29" i="9"/>
  <c r="E29" i="9"/>
  <c r="D29" i="9"/>
  <c r="I28" i="9"/>
  <c r="H28" i="9"/>
  <c r="G28" i="9"/>
  <c r="E28" i="9"/>
  <c r="I27" i="9"/>
  <c r="H27" i="9"/>
  <c r="G27" i="9"/>
  <c r="E27" i="9"/>
  <c r="D28" i="9"/>
  <c r="D27" i="9"/>
  <c r="C27" i="9"/>
  <c r="C35" i="9"/>
  <c r="C34" i="9"/>
  <c r="C33" i="9"/>
  <c r="C32" i="9"/>
  <c r="C31" i="9"/>
  <c r="C30" i="9"/>
  <c r="C29" i="9"/>
  <c r="C28" i="9"/>
  <c r="C9" i="9"/>
  <c r="C37" i="9" l="1"/>
  <c r="Q8" i="9"/>
  <c r="I17" i="9"/>
  <c r="I16" i="9"/>
  <c r="I15" i="9"/>
  <c r="I14" i="9"/>
  <c r="I13" i="9"/>
  <c r="I12" i="9"/>
  <c r="I11" i="9"/>
  <c r="I10" i="9"/>
  <c r="I19" i="9" s="1"/>
  <c r="I20" i="9" s="1"/>
  <c r="I9" i="9"/>
  <c r="H17" i="9"/>
  <c r="H16" i="9"/>
  <c r="H15" i="9"/>
  <c r="H14" i="9"/>
  <c r="H13" i="9"/>
  <c r="H12" i="9"/>
  <c r="H11" i="9"/>
  <c r="H10" i="9"/>
  <c r="H9" i="9"/>
  <c r="G17" i="9"/>
  <c r="G16" i="9"/>
  <c r="G15" i="9"/>
  <c r="G14" i="9"/>
  <c r="G13" i="9"/>
  <c r="G12" i="9"/>
  <c r="G11" i="9"/>
  <c r="G10" i="9"/>
  <c r="E17" i="9"/>
  <c r="E16" i="9"/>
  <c r="E15" i="9"/>
  <c r="E14" i="9"/>
  <c r="E13" i="9"/>
  <c r="E12" i="9"/>
  <c r="E11" i="9"/>
  <c r="E10" i="9"/>
  <c r="E9" i="9"/>
  <c r="D17" i="9" l="1"/>
  <c r="D16" i="9"/>
  <c r="D15" i="9"/>
  <c r="D14" i="9"/>
  <c r="D13" i="9"/>
  <c r="D12" i="9"/>
  <c r="D11" i="9"/>
  <c r="D10" i="9"/>
  <c r="D9" i="9"/>
  <c r="C17" i="9"/>
  <c r="C16" i="9"/>
  <c r="C15" i="9"/>
  <c r="C14" i="9"/>
  <c r="C13" i="9"/>
  <c r="C12" i="9"/>
  <c r="C11" i="9"/>
  <c r="C10" i="9"/>
  <c r="A100" i="6"/>
  <c r="B100" i="6"/>
  <c r="D100" i="6"/>
  <c r="E100" i="6"/>
  <c r="F100" i="6"/>
  <c r="G100" i="6"/>
  <c r="H100" i="6"/>
  <c r="I100" i="6"/>
  <c r="A101" i="6"/>
  <c r="B101" i="6"/>
  <c r="D101" i="6"/>
  <c r="E101" i="6"/>
  <c r="F101" i="6"/>
  <c r="G101" i="6"/>
  <c r="H101" i="6"/>
  <c r="I101" i="6"/>
  <c r="A102" i="6"/>
  <c r="B102" i="6"/>
  <c r="D102" i="6"/>
  <c r="E102" i="6"/>
  <c r="F102" i="6"/>
  <c r="G102" i="6"/>
  <c r="H102" i="6"/>
  <c r="I102" i="6"/>
  <c r="A103" i="6"/>
  <c r="B103" i="6"/>
  <c r="D103" i="6"/>
  <c r="E103" i="6"/>
  <c r="F103" i="6"/>
  <c r="G103" i="6"/>
  <c r="H103" i="6"/>
  <c r="I103" i="6"/>
  <c r="A104" i="6"/>
  <c r="B104" i="6"/>
  <c r="D104" i="6"/>
  <c r="E104" i="6"/>
  <c r="F104" i="6"/>
  <c r="G104" i="6"/>
  <c r="H104" i="6"/>
  <c r="I104" i="6"/>
  <c r="A105" i="6"/>
  <c r="B105" i="6"/>
  <c r="D105" i="6"/>
  <c r="E105" i="6"/>
  <c r="F105" i="6"/>
  <c r="G105" i="6"/>
  <c r="H105" i="6"/>
  <c r="I105" i="6"/>
  <c r="A106" i="6"/>
  <c r="B106" i="6"/>
  <c r="D106" i="6"/>
  <c r="E106" i="6"/>
  <c r="F106" i="6"/>
  <c r="G106" i="6"/>
  <c r="H106" i="6"/>
  <c r="I106" i="6"/>
  <c r="A107" i="6"/>
  <c r="B107" i="6"/>
  <c r="D107" i="6"/>
  <c r="E107" i="6"/>
  <c r="F107" i="6"/>
  <c r="G107" i="6"/>
  <c r="H107" i="6"/>
  <c r="I107" i="6"/>
  <c r="A108" i="6"/>
  <c r="B108" i="6"/>
  <c r="D108" i="6"/>
  <c r="E108" i="6"/>
  <c r="F108" i="6"/>
  <c r="G108" i="6"/>
  <c r="H108" i="6"/>
  <c r="I108" i="6"/>
  <c r="A109" i="6"/>
  <c r="B109" i="6"/>
  <c r="D109" i="6"/>
  <c r="E109" i="6"/>
  <c r="F109" i="6"/>
  <c r="G109" i="6"/>
  <c r="H109" i="6"/>
  <c r="I109" i="6"/>
  <c r="A83" i="6"/>
  <c r="B83" i="6"/>
  <c r="D83" i="6"/>
  <c r="E83" i="6"/>
  <c r="F83" i="6"/>
  <c r="G83" i="6"/>
  <c r="H83" i="6"/>
  <c r="I83" i="6"/>
  <c r="A84" i="6"/>
  <c r="B84" i="6"/>
  <c r="D84" i="6"/>
  <c r="E84" i="6"/>
  <c r="F84" i="6"/>
  <c r="G84" i="6"/>
  <c r="H84" i="6"/>
  <c r="I84" i="6"/>
  <c r="A85" i="6"/>
  <c r="B85" i="6"/>
  <c r="D85" i="6"/>
  <c r="E85" i="6"/>
  <c r="F85" i="6"/>
  <c r="G85" i="6"/>
  <c r="H85" i="6"/>
  <c r="I85" i="6"/>
  <c r="A86" i="6"/>
  <c r="B86" i="6"/>
  <c r="D86" i="6"/>
  <c r="E86" i="6"/>
  <c r="F86" i="6"/>
  <c r="G86" i="6"/>
  <c r="H86" i="6"/>
  <c r="I86" i="6"/>
  <c r="A87" i="6"/>
  <c r="B87" i="6"/>
  <c r="D87" i="6"/>
  <c r="E87" i="6"/>
  <c r="F87" i="6"/>
  <c r="G87" i="6"/>
  <c r="H87" i="6"/>
  <c r="I87" i="6"/>
  <c r="A88" i="6"/>
  <c r="B88" i="6"/>
  <c r="D88" i="6"/>
  <c r="E88" i="6"/>
  <c r="F88" i="6"/>
  <c r="G88" i="6"/>
  <c r="H88" i="6"/>
  <c r="I88" i="6"/>
  <c r="A89" i="6"/>
  <c r="B89" i="6"/>
  <c r="D89" i="6"/>
  <c r="E89" i="6"/>
  <c r="F89" i="6"/>
  <c r="G89" i="6"/>
  <c r="H89" i="6"/>
  <c r="I89" i="6"/>
  <c r="A90" i="6"/>
  <c r="B90" i="6"/>
  <c r="D90" i="6"/>
  <c r="E90" i="6"/>
  <c r="F90" i="6"/>
  <c r="G90" i="6"/>
  <c r="H90" i="6"/>
  <c r="I90" i="6"/>
  <c r="A91" i="6"/>
  <c r="B91" i="6"/>
  <c r="D91" i="6"/>
  <c r="E91" i="6"/>
  <c r="F91" i="6"/>
  <c r="G91" i="6"/>
  <c r="H91" i="6"/>
  <c r="I91" i="6"/>
  <c r="A92" i="6"/>
  <c r="B92" i="6"/>
  <c r="D92" i="6"/>
  <c r="E92" i="6"/>
  <c r="F92" i="6"/>
  <c r="G92" i="6"/>
  <c r="H92" i="6"/>
  <c r="I92" i="6"/>
  <c r="A93" i="6"/>
  <c r="B93" i="6"/>
  <c r="D93" i="6"/>
  <c r="E93" i="6"/>
  <c r="F93" i="6"/>
  <c r="G93" i="6"/>
  <c r="H93" i="6"/>
  <c r="I93" i="6"/>
  <c r="A94" i="6"/>
  <c r="B94" i="6"/>
  <c r="D94" i="6"/>
  <c r="E94" i="6"/>
  <c r="F94" i="6"/>
  <c r="G94" i="6"/>
  <c r="H94" i="6"/>
  <c r="I94" i="6"/>
  <c r="A95" i="6"/>
  <c r="B95" i="6"/>
  <c r="D95" i="6"/>
  <c r="E95" i="6"/>
  <c r="F95" i="6"/>
  <c r="G95" i="6"/>
  <c r="H95" i="6"/>
  <c r="I95" i="6"/>
  <c r="A96" i="6"/>
  <c r="B96" i="6"/>
  <c r="D96" i="6"/>
  <c r="E96" i="6"/>
  <c r="F96" i="6"/>
  <c r="G96" i="6"/>
  <c r="H96" i="6"/>
  <c r="I96" i="6"/>
  <c r="A97" i="6"/>
  <c r="B97" i="6"/>
  <c r="D97" i="6"/>
  <c r="E97" i="6"/>
  <c r="F97" i="6"/>
  <c r="G97" i="6"/>
  <c r="H97" i="6"/>
  <c r="A98" i="6"/>
  <c r="B98" i="6"/>
  <c r="D98" i="6"/>
  <c r="E98" i="6"/>
  <c r="F98" i="6"/>
  <c r="G98" i="6"/>
  <c r="H98" i="6"/>
  <c r="I98" i="6"/>
  <c r="A99" i="6"/>
  <c r="B99" i="6"/>
  <c r="D99" i="6"/>
  <c r="E99" i="6"/>
  <c r="F99" i="6"/>
  <c r="G99" i="6"/>
  <c r="H99" i="6"/>
  <c r="I99" i="6"/>
  <c r="A69" i="6"/>
  <c r="B69" i="6"/>
  <c r="D69" i="6"/>
  <c r="E69" i="6"/>
  <c r="F69" i="6"/>
  <c r="G69" i="6"/>
  <c r="H69" i="6"/>
  <c r="I69" i="6"/>
  <c r="A70" i="6"/>
  <c r="B70" i="6"/>
  <c r="D70" i="6"/>
  <c r="E70" i="6"/>
  <c r="F70" i="6"/>
  <c r="G70" i="6"/>
  <c r="H70" i="6"/>
  <c r="I70" i="6"/>
  <c r="A71" i="6"/>
  <c r="B71" i="6"/>
  <c r="D71" i="6"/>
  <c r="E71" i="6"/>
  <c r="F71" i="6"/>
  <c r="G71" i="6"/>
  <c r="H71" i="6"/>
  <c r="I71" i="6"/>
  <c r="A72" i="6"/>
  <c r="B72" i="6"/>
  <c r="D72" i="6"/>
  <c r="E72" i="6"/>
  <c r="F72" i="6"/>
  <c r="G72" i="6"/>
  <c r="H72" i="6"/>
  <c r="I72" i="6"/>
  <c r="A73" i="6"/>
  <c r="B73" i="6"/>
  <c r="D73" i="6"/>
  <c r="E73" i="6"/>
  <c r="F73" i="6"/>
  <c r="G73" i="6"/>
  <c r="H73" i="6"/>
  <c r="I73" i="6"/>
  <c r="A74" i="6"/>
  <c r="B74" i="6"/>
  <c r="D74" i="6"/>
  <c r="E74" i="6"/>
  <c r="F74" i="6"/>
  <c r="G74" i="6"/>
  <c r="H74" i="6"/>
  <c r="I74" i="6"/>
  <c r="A75" i="6"/>
  <c r="B75" i="6"/>
  <c r="D75" i="6"/>
  <c r="E75" i="6"/>
  <c r="F75" i="6"/>
  <c r="G75" i="6"/>
  <c r="H75" i="6"/>
  <c r="I75" i="6"/>
  <c r="A76" i="6"/>
  <c r="A77" i="6"/>
  <c r="B77" i="6"/>
  <c r="D77" i="6"/>
  <c r="E77" i="6"/>
  <c r="F77" i="6"/>
  <c r="G77" i="6"/>
  <c r="H77" i="6"/>
  <c r="I77" i="6"/>
  <c r="A78" i="6"/>
  <c r="B78" i="6"/>
  <c r="D78" i="6"/>
  <c r="E78" i="6"/>
  <c r="F78" i="6"/>
  <c r="G78" i="6"/>
  <c r="H78" i="6"/>
  <c r="I78" i="6"/>
  <c r="A79" i="6"/>
  <c r="B79" i="6"/>
  <c r="D79" i="6"/>
  <c r="E79" i="6"/>
  <c r="F79" i="6"/>
  <c r="G79" i="6"/>
  <c r="H79" i="6"/>
  <c r="I79" i="6"/>
  <c r="A80" i="6"/>
  <c r="B80" i="6"/>
  <c r="D80" i="6"/>
  <c r="E80" i="6"/>
  <c r="F80" i="6"/>
  <c r="G80" i="6"/>
  <c r="H80" i="6"/>
  <c r="I80" i="6"/>
  <c r="A81" i="6"/>
  <c r="B81" i="6"/>
  <c r="D81" i="6"/>
  <c r="E81" i="6"/>
  <c r="F81" i="6"/>
  <c r="G81" i="6"/>
  <c r="H81" i="6"/>
  <c r="I81" i="6"/>
  <c r="A82" i="6"/>
  <c r="B82" i="6"/>
  <c r="D82" i="6"/>
  <c r="E82" i="6"/>
  <c r="F82" i="6"/>
  <c r="G82" i="6"/>
  <c r="H82" i="6"/>
  <c r="I82" i="6"/>
  <c r="A57" i="6"/>
  <c r="B57" i="6"/>
  <c r="D57" i="6"/>
  <c r="E57" i="6"/>
  <c r="F57" i="6"/>
  <c r="G57" i="6"/>
  <c r="H57" i="6"/>
  <c r="I57" i="6"/>
  <c r="A58" i="6"/>
  <c r="B58" i="6"/>
  <c r="D58" i="6"/>
  <c r="E58" i="6"/>
  <c r="F58" i="6"/>
  <c r="G58" i="6"/>
  <c r="H58" i="6"/>
  <c r="I58" i="6"/>
  <c r="A59" i="6"/>
  <c r="B59" i="6"/>
  <c r="D59" i="6"/>
  <c r="E59" i="6"/>
  <c r="F59" i="6"/>
  <c r="G59" i="6"/>
  <c r="H59" i="6"/>
  <c r="I59" i="6"/>
  <c r="A60" i="6"/>
  <c r="B60" i="6"/>
  <c r="D60" i="6"/>
  <c r="E60" i="6"/>
  <c r="F60" i="6"/>
  <c r="G60" i="6"/>
  <c r="H60" i="6"/>
  <c r="I60" i="6"/>
  <c r="A61" i="6"/>
  <c r="B61" i="6"/>
  <c r="D61" i="6"/>
  <c r="E61" i="6"/>
  <c r="F61" i="6"/>
  <c r="G61" i="6"/>
  <c r="H61" i="6"/>
  <c r="I61" i="6"/>
  <c r="A62" i="6"/>
  <c r="B62" i="6"/>
  <c r="D62" i="6"/>
  <c r="E62" i="6"/>
  <c r="F62" i="6"/>
  <c r="G62" i="6"/>
  <c r="H62" i="6"/>
  <c r="I62" i="6"/>
  <c r="A63" i="6"/>
  <c r="B63" i="6"/>
  <c r="D63" i="6"/>
  <c r="E63" i="6"/>
  <c r="F63" i="6"/>
  <c r="G63" i="6"/>
  <c r="H63" i="6"/>
  <c r="I63" i="6"/>
  <c r="A64" i="6"/>
  <c r="B64" i="6"/>
  <c r="D64" i="6"/>
  <c r="E64" i="6"/>
  <c r="F64" i="6"/>
  <c r="G64" i="6"/>
  <c r="H64" i="6"/>
  <c r="I64" i="6"/>
  <c r="A65" i="6"/>
  <c r="B65" i="6"/>
  <c r="D65" i="6"/>
  <c r="E65" i="6"/>
  <c r="F65" i="6"/>
  <c r="G65" i="6"/>
  <c r="H65" i="6"/>
  <c r="I65" i="6"/>
  <c r="A66" i="6"/>
  <c r="B66" i="6"/>
  <c r="D66" i="6"/>
  <c r="E66" i="6"/>
  <c r="F66" i="6"/>
  <c r="G66" i="6"/>
  <c r="H66" i="6"/>
  <c r="I66" i="6"/>
  <c r="A67" i="6"/>
  <c r="B67" i="6"/>
  <c r="D67" i="6"/>
  <c r="E67" i="6"/>
  <c r="F67" i="6"/>
  <c r="G67" i="6"/>
  <c r="H67" i="6"/>
  <c r="I67" i="6"/>
  <c r="A68" i="6"/>
  <c r="B68" i="6"/>
  <c r="D68" i="6"/>
  <c r="E68" i="6"/>
  <c r="F68" i="6"/>
  <c r="G68" i="6"/>
  <c r="H68" i="6"/>
  <c r="I68" i="6"/>
  <c r="A43" i="6"/>
  <c r="B43" i="6"/>
  <c r="D43" i="6"/>
  <c r="E43" i="6"/>
  <c r="F43" i="6"/>
  <c r="G43" i="6"/>
  <c r="H43" i="6"/>
  <c r="I43" i="6"/>
  <c r="A44" i="6"/>
  <c r="B44" i="6"/>
  <c r="D44" i="6"/>
  <c r="E44" i="6"/>
  <c r="F44" i="6"/>
  <c r="G44" i="6"/>
  <c r="H44" i="6"/>
  <c r="I44" i="6"/>
  <c r="A45" i="6"/>
  <c r="B45" i="6"/>
  <c r="D45" i="6"/>
  <c r="E45" i="6"/>
  <c r="F45" i="6"/>
  <c r="G45" i="6"/>
  <c r="H45" i="6"/>
  <c r="I45" i="6"/>
  <c r="A46" i="6"/>
  <c r="B46" i="6"/>
  <c r="D46" i="6"/>
  <c r="E46" i="6"/>
  <c r="F46" i="6"/>
  <c r="G46" i="6"/>
  <c r="H46" i="6"/>
  <c r="I46" i="6"/>
  <c r="A47" i="6"/>
  <c r="B47" i="6"/>
  <c r="D47" i="6"/>
  <c r="E47" i="6"/>
  <c r="F47" i="6"/>
  <c r="G47" i="6"/>
  <c r="H47" i="6"/>
  <c r="I47" i="6"/>
  <c r="A48" i="6"/>
  <c r="B48" i="6"/>
  <c r="D48" i="6"/>
  <c r="E48" i="6"/>
  <c r="F48" i="6"/>
  <c r="G48" i="6"/>
  <c r="H48" i="6"/>
  <c r="I48" i="6"/>
  <c r="A49" i="6"/>
  <c r="B49" i="6"/>
  <c r="D49" i="6"/>
  <c r="E49" i="6"/>
  <c r="F49" i="6"/>
  <c r="G49" i="6"/>
  <c r="H49" i="6"/>
  <c r="I49" i="6"/>
  <c r="A50" i="6"/>
  <c r="B50" i="6"/>
  <c r="D50" i="6"/>
  <c r="E50" i="6"/>
  <c r="F50" i="6"/>
  <c r="G50" i="6"/>
  <c r="H50" i="6"/>
  <c r="I50" i="6"/>
  <c r="A51" i="6"/>
  <c r="B51" i="6"/>
  <c r="D51" i="6"/>
  <c r="E51" i="6"/>
  <c r="F51" i="6"/>
  <c r="G51" i="6"/>
  <c r="H51" i="6"/>
  <c r="I51" i="6"/>
  <c r="A52" i="6"/>
  <c r="B52" i="6"/>
  <c r="D52" i="6"/>
  <c r="E52" i="6"/>
  <c r="F52" i="6"/>
  <c r="G52" i="6"/>
  <c r="H52" i="6"/>
  <c r="I52" i="6"/>
  <c r="A53" i="6"/>
  <c r="B53" i="6"/>
  <c r="D53" i="6"/>
  <c r="E53" i="6"/>
  <c r="F53" i="6"/>
  <c r="G53" i="6"/>
  <c r="H53" i="6"/>
  <c r="I53" i="6"/>
  <c r="A54" i="6"/>
  <c r="B54" i="6"/>
  <c r="D54" i="6"/>
  <c r="E54" i="6"/>
  <c r="F54" i="6"/>
  <c r="G54" i="6"/>
  <c r="H54" i="6"/>
  <c r="I54" i="6"/>
  <c r="A55" i="6"/>
  <c r="B55" i="6"/>
  <c r="D55" i="6"/>
  <c r="E55" i="6"/>
  <c r="F55" i="6"/>
  <c r="G55" i="6"/>
  <c r="H55" i="6"/>
  <c r="I55" i="6"/>
  <c r="A56" i="6"/>
  <c r="B56" i="6"/>
  <c r="D56" i="6"/>
  <c r="E56" i="6"/>
  <c r="F56" i="6"/>
  <c r="G56" i="6"/>
  <c r="H56" i="6"/>
  <c r="I56" i="6"/>
  <c r="A42" i="6"/>
  <c r="A31" i="6"/>
  <c r="B31" i="6"/>
  <c r="D31" i="6"/>
  <c r="E31" i="6"/>
  <c r="F31" i="6"/>
  <c r="G31" i="6"/>
  <c r="H31" i="6"/>
  <c r="I31" i="6"/>
  <c r="A32" i="6"/>
  <c r="B32" i="6"/>
  <c r="D32" i="6"/>
  <c r="E32" i="6"/>
  <c r="F32" i="6"/>
  <c r="G32" i="6"/>
  <c r="H32" i="6"/>
  <c r="I32" i="6"/>
  <c r="A33" i="6"/>
  <c r="B33" i="6"/>
  <c r="D33" i="6"/>
  <c r="E33" i="6"/>
  <c r="F33" i="6"/>
  <c r="G33" i="6"/>
  <c r="H33" i="6"/>
  <c r="I33" i="6"/>
  <c r="A34" i="6"/>
  <c r="B34" i="6"/>
  <c r="D34" i="6"/>
  <c r="E34" i="6"/>
  <c r="F34" i="6"/>
  <c r="G34" i="6"/>
  <c r="H34" i="6"/>
  <c r="I34" i="6"/>
  <c r="A35" i="6"/>
  <c r="B35" i="6"/>
  <c r="D35" i="6"/>
  <c r="E35" i="6"/>
  <c r="F35" i="6"/>
  <c r="G35" i="6"/>
  <c r="H35" i="6"/>
  <c r="I35" i="6"/>
  <c r="A36" i="6"/>
  <c r="B36" i="6"/>
  <c r="D36" i="6"/>
  <c r="E36" i="6"/>
  <c r="F36" i="6"/>
  <c r="G36" i="6"/>
  <c r="H36" i="6"/>
  <c r="I36" i="6"/>
  <c r="A37" i="6"/>
  <c r="B37" i="6"/>
  <c r="D37" i="6"/>
  <c r="E37" i="6"/>
  <c r="F37" i="6"/>
  <c r="G37" i="6"/>
  <c r="H37" i="6"/>
  <c r="I37" i="6"/>
  <c r="A38" i="6"/>
  <c r="B38" i="6"/>
  <c r="D38" i="6"/>
  <c r="E38" i="6"/>
  <c r="F38" i="6"/>
  <c r="G38" i="6"/>
  <c r="H38" i="6"/>
  <c r="I38" i="6"/>
  <c r="A39" i="6"/>
  <c r="B39" i="6"/>
  <c r="D39" i="6"/>
  <c r="E39" i="6"/>
  <c r="F39" i="6"/>
  <c r="G39" i="6"/>
  <c r="H39" i="6"/>
  <c r="I39" i="6"/>
  <c r="A40" i="6"/>
  <c r="B40" i="6"/>
  <c r="D40" i="6"/>
  <c r="E40" i="6"/>
  <c r="F40" i="6"/>
  <c r="G40" i="6"/>
  <c r="H40" i="6"/>
  <c r="I40" i="6"/>
  <c r="A41" i="6"/>
  <c r="B41" i="6"/>
  <c r="D41" i="6"/>
  <c r="E41" i="6"/>
  <c r="F41" i="6"/>
  <c r="G41" i="6"/>
  <c r="H41" i="6"/>
  <c r="I41" i="6"/>
  <c r="A5" i="6"/>
  <c r="B5" i="6"/>
  <c r="D5" i="6"/>
  <c r="E5" i="6"/>
  <c r="F5" i="6"/>
  <c r="G5" i="6"/>
  <c r="H5" i="6"/>
  <c r="I5" i="6"/>
  <c r="A6" i="6"/>
  <c r="B6" i="6"/>
  <c r="D6" i="6"/>
  <c r="E6" i="6"/>
  <c r="F6" i="6"/>
  <c r="G6" i="6"/>
  <c r="H6" i="6"/>
  <c r="I6" i="6"/>
  <c r="A7" i="6"/>
  <c r="B7" i="6"/>
  <c r="D7" i="6"/>
  <c r="E7" i="6"/>
  <c r="F7" i="6"/>
  <c r="G7" i="6"/>
  <c r="H7" i="6"/>
  <c r="I7" i="6"/>
  <c r="A8" i="6"/>
  <c r="B8" i="6"/>
  <c r="D8" i="6"/>
  <c r="E8" i="6"/>
  <c r="F8" i="6"/>
  <c r="G8" i="6"/>
  <c r="H8" i="6"/>
  <c r="I8" i="6"/>
  <c r="A9" i="6"/>
  <c r="B9" i="6"/>
  <c r="D9" i="6"/>
  <c r="E9" i="6"/>
  <c r="F9" i="6"/>
  <c r="G9" i="6"/>
  <c r="H9" i="6"/>
  <c r="I9" i="6"/>
  <c r="A10" i="6"/>
  <c r="B10" i="6"/>
  <c r="D10" i="6"/>
  <c r="E10" i="6"/>
  <c r="F10" i="6"/>
  <c r="G10" i="6"/>
  <c r="H10" i="6"/>
  <c r="I10" i="6"/>
  <c r="A11" i="6"/>
  <c r="B11" i="6"/>
  <c r="D11" i="6"/>
  <c r="E11" i="6"/>
  <c r="F11" i="6"/>
  <c r="G11" i="6"/>
  <c r="H11" i="6"/>
  <c r="I11" i="6"/>
  <c r="A12" i="6"/>
  <c r="B12" i="6"/>
  <c r="D12" i="6"/>
  <c r="E12" i="6"/>
  <c r="F12" i="6"/>
  <c r="G12" i="6"/>
  <c r="H12" i="6"/>
  <c r="I12" i="6"/>
  <c r="A13" i="6"/>
  <c r="B13" i="6"/>
  <c r="D13" i="6"/>
  <c r="E13" i="6"/>
  <c r="F13" i="6"/>
  <c r="G13" i="6"/>
  <c r="H13" i="6"/>
  <c r="I13" i="6"/>
  <c r="A14" i="6"/>
  <c r="B14" i="6"/>
  <c r="D14" i="6"/>
  <c r="E14" i="6"/>
  <c r="F14" i="6"/>
  <c r="G14" i="6"/>
  <c r="H14" i="6"/>
  <c r="I14" i="6"/>
  <c r="A15" i="6"/>
  <c r="B15" i="6"/>
  <c r="D15" i="6"/>
  <c r="E15" i="6"/>
  <c r="F15" i="6"/>
  <c r="G15" i="6"/>
  <c r="H15" i="6"/>
  <c r="I15" i="6"/>
  <c r="A16" i="6"/>
  <c r="B16" i="6"/>
  <c r="D16" i="6"/>
  <c r="E16" i="6"/>
  <c r="F16" i="6"/>
  <c r="G16" i="6"/>
  <c r="H16" i="6"/>
  <c r="I16" i="6"/>
  <c r="A17" i="6"/>
  <c r="B17" i="6"/>
  <c r="D17" i="6"/>
  <c r="E17" i="6"/>
  <c r="F17" i="6"/>
  <c r="G17" i="6"/>
  <c r="H17" i="6"/>
  <c r="I17" i="6"/>
  <c r="A18" i="6"/>
  <c r="B18" i="6"/>
  <c r="D18" i="6"/>
  <c r="E18" i="6"/>
  <c r="F18" i="6"/>
  <c r="G18" i="6"/>
  <c r="H18" i="6"/>
  <c r="I18" i="6"/>
  <c r="A19" i="6"/>
  <c r="B19" i="6"/>
  <c r="D19" i="6"/>
  <c r="E19" i="6"/>
  <c r="F19" i="6"/>
  <c r="G19" i="6"/>
  <c r="H19" i="6"/>
  <c r="I19" i="6"/>
  <c r="A20" i="6"/>
  <c r="B20" i="6"/>
  <c r="D20" i="6"/>
  <c r="E20" i="6"/>
  <c r="F20" i="6"/>
  <c r="G20" i="6"/>
  <c r="H20" i="6"/>
  <c r="I20" i="6"/>
  <c r="A21" i="6"/>
  <c r="B21" i="6"/>
  <c r="D21" i="6"/>
  <c r="E21" i="6"/>
  <c r="F21" i="6"/>
  <c r="G21" i="6"/>
  <c r="H21" i="6"/>
  <c r="I21" i="6"/>
  <c r="A22" i="6"/>
  <c r="B22" i="6"/>
  <c r="D22" i="6"/>
  <c r="E22" i="6"/>
  <c r="F22" i="6"/>
  <c r="G22" i="6"/>
  <c r="H22" i="6"/>
  <c r="I22" i="6"/>
  <c r="A23" i="6"/>
  <c r="A24" i="6"/>
  <c r="B24" i="6"/>
  <c r="D24" i="6"/>
  <c r="E24" i="6"/>
  <c r="F24" i="6"/>
  <c r="G24" i="6"/>
  <c r="H24" i="6"/>
  <c r="I24" i="6"/>
  <c r="A25" i="6"/>
  <c r="B25" i="6"/>
  <c r="D25" i="6"/>
  <c r="E25" i="6"/>
  <c r="F25" i="6"/>
  <c r="G25" i="6"/>
  <c r="H25" i="6"/>
  <c r="I25" i="6"/>
  <c r="A26" i="6"/>
  <c r="B26" i="6"/>
  <c r="D26" i="6"/>
  <c r="E26" i="6"/>
  <c r="F26" i="6"/>
  <c r="G26" i="6"/>
  <c r="H26" i="6"/>
  <c r="I26" i="6"/>
  <c r="A27" i="6"/>
  <c r="B27" i="6"/>
  <c r="D27" i="6"/>
  <c r="E27" i="6"/>
  <c r="F27" i="6"/>
  <c r="G27" i="6"/>
  <c r="H27" i="6"/>
  <c r="I27" i="6"/>
  <c r="A28" i="6"/>
  <c r="B28" i="6"/>
  <c r="D28" i="6"/>
  <c r="E28" i="6"/>
  <c r="F28" i="6"/>
  <c r="G28" i="6"/>
  <c r="H28" i="6"/>
  <c r="I28" i="6"/>
  <c r="A29" i="6"/>
  <c r="B29" i="6"/>
  <c r="D29" i="6"/>
  <c r="E29" i="6"/>
  <c r="F29" i="6"/>
  <c r="G29" i="6"/>
  <c r="H29" i="6"/>
  <c r="I29" i="6"/>
  <c r="A30" i="6"/>
  <c r="B30" i="6"/>
  <c r="D30" i="6"/>
  <c r="E30" i="6"/>
  <c r="F30" i="6"/>
  <c r="G30" i="6"/>
  <c r="H30" i="6"/>
  <c r="I30" i="6"/>
  <c r="E47" i="14"/>
  <c r="B46" i="14"/>
  <c r="A46" i="14"/>
  <c r="E42" i="14"/>
  <c r="B41" i="14"/>
  <c r="A41" i="14"/>
  <c r="C35" i="14"/>
  <c r="B35" i="14"/>
  <c r="C33" i="14"/>
  <c r="G33" i="14" s="1"/>
  <c r="B33" i="14"/>
  <c r="C31" i="14"/>
  <c r="B31" i="14"/>
  <c r="C26" i="14"/>
  <c r="G26" i="14" s="1"/>
  <c r="B26" i="14"/>
  <c r="C24" i="14"/>
  <c r="B24" i="14"/>
  <c r="C22" i="14"/>
  <c r="G22" i="14" s="1"/>
  <c r="B22" i="14"/>
  <c r="F9" i="14"/>
  <c r="D9" i="14"/>
  <c r="D13" i="14" s="1"/>
  <c r="C9" i="14"/>
  <c r="B9" i="14"/>
  <c r="B13" i="14" s="1"/>
  <c r="F8" i="14"/>
  <c r="C8" i="14"/>
  <c r="B8" i="14"/>
  <c r="B12" i="14" s="1"/>
  <c r="F7" i="14"/>
  <c r="D7" i="14"/>
  <c r="C7" i="14"/>
  <c r="B7" i="14"/>
  <c r="N129" i="9"/>
  <c r="M129" i="9"/>
  <c r="N127" i="9"/>
  <c r="M127" i="9"/>
  <c r="H126" i="9"/>
  <c r="H127" i="9" s="1"/>
  <c r="F126" i="9"/>
  <c r="B126" i="9"/>
  <c r="N125" i="9"/>
  <c r="M125" i="9"/>
  <c r="N120" i="9"/>
  <c r="M120" i="9"/>
  <c r="N118" i="9"/>
  <c r="M118" i="9"/>
  <c r="I126" i="9"/>
  <c r="I127" i="9" s="1"/>
  <c r="Q127" i="9"/>
  <c r="R127" i="9" s="1"/>
  <c r="Q125" i="9"/>
  <c r="R125" i="9" s="1"/>
  <c r="E126" i="9"/>
  <c r="E127" i="9" s="1"/>
  <c r="P118" i="9"/>
  <c r="Q116" i="9"/>
  <c r="R116" i="9" s="1"/>
  <c r="P116" i="9"/>
  <c r="N116" i="9"/>
  <c r="M116" i="9"/>
  <c r="N111" i="9"/>
  <c r="M111" i="9"/>
  <c r="N109" i="9"/>
  <c r="M109" i="9"/>
  <c r="B109" i="9"/>
  <c r="N107" i="9"/>
  <c r="M107" i="9"/>
  <c r="N102" i="9"/>
  <c r="M102" i="9"/>
  <c r="N100" i="9"/>
  <c r="M100" i="9"/>
  <c r="I109" i="9"/>
  <c r="I110" i="9" s="1"/>
  <c r="Q109" i="9"/>
  <c r="R109" i="9" s="1"/>
  <c r="Q107" i="9"/>
  <c r="R107" i="9" s="1"/>
  <c r="P102" i="9"/>
  <c r="D109" i="9"/>
  <c r="D110" i="9" s="1"/>
  <c r="C109" i="9"/>
  <c r="C110" i="9" s="1"/>
  <c r="Q98" i="9"/>
  <c r="R98" i="9" s="1"/>
  <c r="N98" i="9"/>
  <c r="M98" i="9"/>
  <c r="N93" i="9"/>
  <c r="M93" i="9"/>
  <c r="Q91" i="9"/>
  <c r="R91" i="9" s="1"/>
  <c r="N91" i="9"/>
  <c r="M91" i="9"/>
  <c r="B91" i="9"/>
  <c r="N89" i="9"/>
  <c r="M89" i="9"/>
  <c r="N84" i="9"/>
  <c r="M84" i="9"/>
  <c r="N82" i="9"/>
  <c r="M82" i="9"/>
  <c r="I91" i="9"/>
  <c r="I92" i="9" s="1"/>
  <c r="P91" i="9"/>
  <c r="Q89" i="9"/>
  <c r="R89" i="9" s="1"/>
  <c r="E91" i="9"/>
  <c r="E92" i="9" s="1"/>
  <c r="D91" i="9"/>
  <c r="D92" i="9" s="1"/>
  <c r="C91" i="9"/>
  <c r="C92" i="9" s="1"/>
  <c r="Q80" i="9"/>
  <c r="R80" i="9" s="1"/>
  <c r="P80" i="9"/>
  <c r="N80" i="9"/>
  <c r="M80" i="9"/>
  <c r="Q75" i="9"/>
  <c r="R75" i="9" s="1"/>
  <c r="N75" i="9"/>
  <c r="M75" i="9"/>
  <c r="N73" i="9"/>
  <c r="M73" i="9"/>
  <c r="B73" i="9"/>
  <c r="N71" i="9"/>
  <c r="M71" i="9"/>
  <c r="N66" i="9"/>
  <c r="M66" i="9"/>
  <c r="P64" i="9"/>
  <c r="N64" i="9"/>
  <c r="M64" i="9"/>
  <c r="P75" i="9"/>
  <c r="Q73" i="9"/>
  <c r="R73" i="9" s="1"/>
  <c r="G73" i="9"/>
  <c r="G74" i="9" s="1"/>
  <c r="E73" i="9"/>
  <c r="E74" i="9" s="1"/>
  <c r="D73" i="9"/>
  <c r="D74" i="9" s="1"/>
  <c r="P62" i="9"/>
  <c r="N62" i="9"/>
  <c r="M62" i="9"/>
  <c r="N57" i="9"/>
  <c r="M57" i="9"/>
  <c r="N55" i="9"/>
  <c r="M55" i="9"/>
  <c r="B55" i="9"/>
  <c r="N53" i="9"/>
  <c r="M53" i="9"/>
  <c r="N48" i="9"/>
  <c r="M48" i="9"/>
  <c r="N46" i="9"/>
  <c r="M46" i="9"/>
  <c r="Q57" i="9"/>
  <c r="R57" i="9" s="1"/>
  <c r="P55" i="9"/>
  <c r="P53" i="9"/>
  <c r="E55" i="9"/>
  <c r="E56" i="9" s="1"/>
  <c r="P46" i="9"/>
  <c r="C55" i="9"/>
  <c r="C56" i="9" s="1"/>
  <c r="Q44" i="9"/>
  <c r="R44" i="9" s="1"/>
  <c r="N44" i="9"/>
  <c r="M44" i="9"/>
  <c r="N39" i="9"/>
  <c r="M39" i="9"/>
  <c r="N37" i="9"/>
  <c r="M37" i="9"/>
  <c r="B37" i="9"/>
  <c r="Q35" i="9"/>
  <c r="R35" i="9" s="1"/>
  <c r="N35" i="9"/>
  <c r="M35" i="9"/>
  <c r="N30" i="9"/>
  <c r="M30" i="9"/>
  <c r="N28" i="9"/>
  <c r="M28" i="9"/>
  <c r="I37" i="9"/>
  <c r="I38" i="9" s="1"/>
  <c r="Q37" i="9"/>
  <c r="R37" i="9" s="1"/>
  <c r="G37" i="9"/>
  <c r="G38" i="9" s="1"/>
  <c r="P30" i="9"/>
  <c r="D37" i="9"/>
  <c r="D38" i="9" s="1"/>
  <c r="C38" i="9"/>
  <c r="Q26" i="9"/>
  <c r="R26" i="9" s="1"/>
  <c r="N26" i="9"/>
  <c r="M26" i="9"/>
  <c r="N21" i="9"/>
  <c r="M21" i="9"/>
  <c r="N19" i="9"/>
  <c r="M19" i="9"/>
  <c r="B19" i="9"/>
  <c r="N17" i="9"/>
  <c r="M17" i="9"/>
  <c r="N12" i="9"/>
  <c r="M12" i="9"/>
  <c r="N10" i="9"/>
  <c r="M10" i="9"/>
  <c r="P19" i="9"/>
  <c r="Q17" i="9"/>
  <c r="R17" i="9" s="1"/>
  <c r="E19" i="9"/>
  <c r="E20" i="9" s="1"/>
  <c r="D19" i="9"/>
  <c r="D20" i="9" s="1"/>
  <c r="C19" i="9"/>
  <c r="C20" i="9" s="1"/>
  <c r="R8" i="9"/>
  <c r="P8" i="9"/>
  <c r="N8" i="9"/>
  <c r="M8" i="9"/>
  <c r="H22" i="14" l="1"/>
  <c r="I22" i="14" s="1"/>
  <c r="H26" i="14"/>
  <c r="I26" i="14" s="1"/>
  <c r="D12" i="14"/>
  <c r="D16" i="14" s="1"/>
  <c r="F16" i="14" s="1"/>
  <c r="C41" i="14"/>
  <c r="B11" i="14"/>
  <c r="C46" i="14"/>
  <c r="D11" i="14"/>
  <c r="G24" i="14"/>
  <c r="H24" i="14" s="1"/>
  <c r="I24" i="14" s="1"/>
  <c r="G31" i="14"/>
  <c r="H31" i="14" s="1"/>
  <c r="I31" i="14" s="1"/>
  <c r="G35" i="14"/>
  <c r="H35" i="14" s="1"/>
  <c r="I35" i="14" s="1"/>
  <c r="P28" i="9"/>
  <c r="Q39" i="9"/>
  <c r="R39" i="9" s="1"/>
  <c r="P44" i="9"/>
  <c r="Q55" i="9"/>
  <c r="R55" i="9" s="1"/>
  <c r="P84" i="9"/>
  <c r="P127" i="9"/>
  <c r="Q19" i="9"/>
  <c r="R19" i="9" s="1"/>
  <c r="P107" i="9"/>
  <c r="Q111" i="9"/>
  <c r="R111" i="9" s="1"/>
  <c r="P71" i="9"/>
  <c r="P12" i="9"/>
  <c r="P35" i="9"/>
  <c r="P48" i="9"/>
  <c r="Q62" i="9"/>
  <c r="R62" i="9" s="1"/>
  <c r="P100" i="9"/>
  <c r="P120" i="9"/>
  <c r="H33" i="14"/>
  <c r="I33" i="14" s="1"/>
  <c r="F13" i="14"/>
  <c r="D17" i="14"/>
  <c r="F17" i="14" s="1"/>
  <c r="C12" i="14"/>
  <c r="B16" i="14"/>
  <c r="C16" i="14" s="1"/>
  <c r="C13" i="14"/>
  <c r="B17" i="14"/>
  <c r="C17" i="14" s="1"/>
  <c r="G19" i="9"/>
  <c r="G20" i="9" s="1"/>
  <c r="P21" i="9"/>
  <c r="Q30" i="9"/>
  <c r="R30" i="9" s="1"/>
  <c r="E37" i="9"/>
  <c r="E38" i="9" s="1"/>
  <c r="Q46" i="9"/>
  <c r="R46" i="9" s="1"/>
  <c r="Q53" i="9"/>
  <c r="R53" i="9" s="1"/>
  <c r="D55" i="9"/>
  <c r="D56" i="9" s="1"/>
  <c r="I55" i="9"/>
  <c r="I56" i="9" s="1"/>
  <c r="C73" i="9"/>
  <c r="C74" i="9" s="1"/>
  <c r="H73" i="9"/>
  <c r="H74" i="9" s="1"/>
  <c r="P73" i="9"/>
  <c r="G91" i="9"/>
  <c r="G92" i="9" s="1"/>
  <c r="P93" i="9"/>
  <c r="Q102" i="9"/>
  <c r="R102" i="9" s="1"/>
  <c r="E109" i="9"/>
  <c r="E110" i="9" s="1"/>
  <c r="Q118" i="9"/>
  <c r="R118" i="9" s="1"/>
  <c r="P10" i="9"/>
  <c r="P17" i="9"/>
  <c r="H19" i="9"/>
  <c r="H20" i="9" s="1"/>
  <c r="Q21" i="9"/>
  <c r="R21" i="9" s="1"/>
  <c r="P26" i="9"/>
  <c r="P39" i="9"/>
  <c r="Q48" i="9"/>
  <c r="R48" i="9" s="1"/>
  <c r="Q64" i="9"/>
  <c r="R64" i="9" s="1"/>
  <c r="P66" i="9"/>
  <c r="Q71" i="9"/>
  <c r="R71" i="9" s="1"/>
  <c r="I73" i="9"/>
  <c r="I74" i="9" s="1"/>
  <c r="P82" i="9"/>
  <c r="P89" i="9"/>
  <c r="H91" i="9"/>
  <c r="H92" i="9" s="1"/>
  <c r="Q93" i="9"/>
  <c r="R93" i="9" s="1"/>
  <c r="P98" i="9"/>
  <c r="G109" i="9"/>
  <c r="G110" i="9" s="1"/>
  <c r="P111" i="9"/>
  <c r="Q120" i="9"/>
  <c r="R120" i="9" s="1"/>
  <c r="P125" i="9"/>
  <c r="C126" i="9"/>
  <c r="C127" i="9" s="1"/>
  <c r="G126" i="9"/>
  <c r="G127" i="9" s="1"/>
  <c r="P129" i="9"/>
  <c r="Q10" i="9"/>
  <c r="R10" i="9" s="1"/>
  <c r="H37" i="9"/>
  <c r="H38" i="9" s="1"/>
  <c r="P37" i="9"/>
  <c r="G55" i="9"/>
  <c r="G56" i="9" s="1"/>
  <c r="P57" i="9"/>
  <c r="Q66" i="9"/>
  <c r="R66" i="9" s="1"/>
  <c r="Q82" i="9"/>
  <c r="R82" i="9" s="1"/>
  <c r="H109" i="9"/>
  <c r="H110" i="9" s="1"/>
  <c r="P109" i="9"/>
  <c r="D126" i="9"/>
  <c r="D127" i="9" s="1"/>
  <c r="Q129" i="9"/>
  <c r="R129" i="9" s="1"/>
  <c r="Q12" i="9"/>
  <c r="R12" i="9" s="1"/>
  <c r="Q28" i="9"/>
  <c r="R28" i="9" s="1"/>
  <c r="H55" i="9"/>
  <c r="H56" i="9" s="1"/>
  <c r="Q84" i="9"/>
  <c r="R84" i="9" s="1"/>
  <c r="Q100" i="9"/>
  <c r="R100" i="9" s="1"/>
  <c r="J368" i="2"/>
  <c r="J58" i="6" s="1"/>
  <c r="J369" i="2"/>
  <c r="J59" i="6" s="1"/>
  <c r="J370" i="2"/>
  <c r="J60" i="6" s="1"/>
  <c r="J371" i="2"/>
  <c r="J61" i="6" s="1"/>
  <c r="F12" i="14" l="1"/>
  <c r="F11" i="14"/>
  <c r="D15" i="14"/>
  <c r="G46" i="14"/>
  <c r="G41" i="14"/>
  <c r="C11" i="14"/>
  <c r="B15" i="14"/>
  <c r="A390" i="4"/>
  <c r="B390" i="4"/>
  <c r="D390" i="4"/>
  <c r="E390" i="4"/>
  <c r="F390" i="4"/>
  <c r="G390" i="4"/>
  <c r="H390" i="4"/>
  <c r="I390" i="4"/>
  <c r="A391" i="4"/>
  <c r="B391" i="4"/>
  <c r="D391" i="4"/>
  <c r="E391" i="4"/>
  <c r="F391" i="4"/>
  <c r="G391" i="4"/>
  <c r="H391" i="4"/>
  <c r="I391" i="4"/>
  <c r="A392" i="4"/>
  <c r="B392" i="4"/>
  <c r="D392" i="4"/>
  <c r="E392" i="4"/>
  <c r="F392" i="4"/>
  <c r="G392" i="4"/>
  <c r="H392" i="4"/>
  <c r="I392" i="4"/>
  <c r="A393" i="4"/>
  <c r="B393" i="4"/>
  <c r="D393" i="4"/>
  <c r="E393" i="4"/>
  <c r="F393" i="4"/>
  <c r="G393" i="4"/>
  <c r="H393" i="4"/>
  <c r="I393" i="4"/>
  <c r="A394" i="4"/>
  <c r="B394" i="4"/>
  <c r="D394" i="4"/>
  <c r="E394" i="4"/>
  <c r="F394" i="4"/>
  <c r="G394" i="4"/>
  <c r="H394" i="4"/>
  <c r="I394" i="4"/>
  <c r="A395" i="4"/>
  <c r="B395" i="4"/>
  <c r="D395" i="4"/>
  <c r="E395" i="4"/>
  <c r="F395" i="4"/>
  <c r="G395" i="4"/>
  <c r="H395" i="4"/>
  <c r="I395" i="4"/>
  <c r="A396" i="4"/>
  <c r="B396" i="4"/>
  <c r="D396" i="4"/>
  <c r="E396" i="4"/>
  <c r="F396" i="4"/>
  <c r="G396" i="4"/>
  <c r="H396" i="4"/>
  <c r="I396" i="4"/>
  <c r="A397" i="4"/>
  <c r="B397" i="4"/>
  <c r="D397" i="4"/>
  <c r="E397" i="4"/>
  <c r="F397" i="4"/>
  <c r="G397" i="4"/>
  <c r="H397" i="4"/>
  <c r="I397" i="4"/>
  <c r="A376" i="4"/>
  <c r="B376" i="4"/>
  <c r="D376" i="4"/>
  <c r="E376" i="4"/>
  <c r="F376" i="4"/>
  <c r="G376" i="4"/>
  <c r="H376" i="4"/>
  <c r="I376" i="4"/>
  <c r="A377" i="4"/>
  <c r="B377" i="4"/>
  <c r="D377" i="4"/>
  <c r="E377" i="4"/>
  <c r="F377" i="4"/>
  <c r="G377" i="4"/>
  <c r="H377" i="4"/>
  <c r="I377" i="4"/>
  <c r="A378" i="4"/>
  <c r="B378" i="4"/>
  <c r="D378" i="4"/>
  <c r="E378" i="4"/>
  <c r="F378" i="4"/>
  <c r="G378" i="4"/>
  <c r="H378" i="4"/>
  <c r="I378" i="4"/>
  <c r="A379" i="4"/>
  <c r="B379" i="4"/>
  <c r="D379" i="4"/>
  <c r="E379" i="4"/>
  <c r="F379" i="4"/>
  <c r="G379" i="4"/>
  <c r="H379" i="4"/>
  <c r="I379" i="4"/>
  <c r="A380" i="4"/>
  <c r="B380" i="4"/>
  <c r="D380" i="4"/>
  <c r="E380" i="4"/>
  <c r="F380" i="4"/>
  <c r="G380" i="4"/>
  <c r="H380" i="4"/>
  <c r="I380" i="4"/>
  <c r="A381" i="4"/>
  <c r="B381" i="4"/>
  <c r="D381" i="4"/>
  <c r="E381" i="4"/>
  <c r="F381" i="4"/>
  <c r="G381" i="4"/>
  <c r="H381" i="4"/>
  <c r="I381" i="4"/>
  <c r="A382" i="4"/>
  <c r="B382" i="4"/>
  <c r="D382" i="4"/>
  <c r="E382" i="4"/>
  <c r="F382" i="4"/>
  <c r="G382" i="4"/>
  <c r="H382" i="4"/>
  <c r="I382" i="4"/>
  <c r="A383" i="4"/>
  <c r="B383" i="4"/>
  <c r="D383" i="4"/>
  <c r="E383" i="4"/>
  <c r="F383" i="4"/>
  <c r="G383" i="4"/>
  <c r="H383" i="4"/>
  <c r="I383" i="4"/>
  <c r="A384" i="4"/>
  <c r="B384" i="4"/>
  <c r="D384" i="4"/>
  <c r="E384" i="4"/>
  <c r="F384" i="4"/>
  <c r="G384" i="4"/>
  <c r="H384" i="4"/>
  <c r="I384" i="4"/>
  <c r="A385" i="4"/>
  <c r="B385" i="4"/>
  <c r="D385" i="4"/>
  <c r="E385" i="4"/>
  <c r="F385" i="4"/>
  <c r="G385" i="4"/>
  <c r="H385" i="4"/>
  <c r="I385" i="4"/>
  <c r="A386" i="4"/>
  <c r="B386" i="4"/>
  <c r="D386" i="4"/>
  <c r="E386" i="4"/>
  <c r="F386" i="4"/>
  <c r="G386" i="4"/>
  <c r="H386" i="4"/>
  <c r="I386" i="4"/>
  <c r="A387" i="4"/>
  <c r="B387" i="4"/>
  <c r="D387" i="4"/>
  <c r="E387" i="4"/>
  <c r="F387" i="4"/>
  <c r="G387" i="4"/>
  <c r="H387" i="4"/>
  <c r="I387" i="4"/>
  <c r="A388" i="4"/>
  <c r="B388" i="4"/>
  <c r="D388" i="4"/>
  <c r="E388" i="4"/>
  <c r="F388" i="4"/>
  <c r="G388" i="4"/>
  <c r="H388" i="4"/>
  <c r="I388" i="4"/>
  <c r="A389" i="4"/>
  <c r="B389" i="4"/>
  <c r="D389" i="4"/>
  <c r="E389" i="4"/>
  <c r="F389" i="4"/>
  <c r="G389" i="4"/>
  <c r="H389" i="4"/>
  <c r="I389" i="4"/>
  <c r="A364" i="4"/>
  <c r="B364" i="4"/>
  <c r="D364" i="4"/>
  <c r="E364" i="4"/>
  <c r="F364" i="4"/>
  <c r="G364" i="4"/>
  <c r="H364" i="4"/>
  <c r="I364" i="4"/>
  <c r="A365" i="4"/>
  <c r="B365" i="4"/>
  <c r="D365" i="4"/>
  <c r="E365" i="4"/>
  <c r="F365" i="4"/>
  <c r="G365" i="4"/>
  <c r="H365" i="4"/>
  <c r="I365" i="4"/>
  <c r="A366" i="4"/>
  <c r="B366" i="4"/>
  <c r="D366" i="4"/>
  <c r="E366" i="4"/>
  <c r="F366" i="4"/>
  <c r="G366" i="4"/>
  <c r="H366" i="4"/>
  <c r="I366" i="4"/>
  <c r="A367" i="4"/>
  <c r="B367" i="4"/>
  <c r="D367" i="4"/>
  <c r="E367" i="4"/>
  <c r="F367" i="4"/>
  <c r="G367" i="4"/>
  <c r="H367" i="4"/>
  <c r="I367" i="4"/>
  <c r="A368" i="4"/>
  <c r="B368" i="4"/>
  <c r="D368" i="4"/>
  <c r="E368" i="4"/>
  <c r="F368" i="4"/>
  <c r="G368" i="4"/>
  <c r="H368" i="4"/>
  <c r="I368" i="4"/>
  <c r="A369" i="4"/>
  <c r="B369" i="4"/>
  <c r="D369" i="4"/>
  <c r="E369" i="4"/>
  <c r="F369" i="4"/>
  <c r="G369" i="4"/>
  <c r="H369" i="4"/>
  <c r="I369" i="4"/>
  <c r="A370" i="4"/>
  <c r="B370" i="4"/>
  <c r="D370" i="4"/>
  <c r="E370" i="4"/>
  <c r="F370" i="4"/>
  <c r="G370" i="4"/>
  <c r="H370" i="4"/>
  <c r="I370" i="4"/>
  <c r="A371" i="4"/>
  <c r="B371" i="4"/>
  <c r="D371" i="4"/>
  <c r="E371" i="4"/>
  <c r="F371" i="4"/>
  <c r="G371" i="4"/>
  <c r="H371" i="4"/>
  <c r="I371" i="4"/>
  <c r="A372" i="4"/>
  <c r="B372" i="4"/>
  <c r="D372" i="4"/>
  <c r="E372" i="4"/>
  <c r="F372" i="4"/>
  <c r="G372" i="4"/>
  <c r="H372" i="4"/>
  <c r="I372" i="4"/>
  <c r="A373" i="4"/>
  <c r="A374" i="4"/>
  <c r="B374" i="4"/>
  <c r="D374" i="4"/>
  <c r="E374" i="4"/>
  <c r="F374" i="4"/>
  <c r="G374" i="4"/>
  <c r="H374" i="4"/>
  <c r="I374" i="4"/>
  <c r="A375" i="4"/>
  <c r="B375" i="4"/>
  <c r="D375" i="4"/>
  <c r="E375" i="4"/>
  <c r="F375" i="4"/>
  <c r="G375" i="4"/>
  <c r="H375" i="4"/>
  <c r="I375" i="4"/>
  <c r="A350" i="4"/>
  <c r="B350" i="4"/>
  <c r="D350" i="4"/>
  <c r="E350" i="4"/>
  <c r="F350" i="4"/>
  <c r="G350" i="4"/>
  <c r="H350" i="4"/>
  <c r="I350" i="4"/>
  <c r="A351" i="4"/>
  <c r="B351" i="4"/>
  <c r="D351" i="4"/>
  <c r="E351" i="4"/>
  <c r="F351" i="4"/>
  <c r="G351" i="4"/>
  <c r="H351" i="4"/>
  <c r="I351" i="4"/>
  <c r="A352" i="4"/>
  <c r="B352" i="4"/>
  <c r="D352" i="4"/>
  <c r="E352" i="4"/>
  <c r="F352" i="4"/>
  <c r="G352" i="4"/>
  <c r="H352" i="4"/>
  <c r="I352" i="4"/>
  <c r="A353" i="4"/>
  <c r="B353" i="4"/>
  <c r="D353" i="4"/>
  <c r="E353" i="4"/>
  <c r="F353" i="4"/>
  <c r="G353" i="4"/>
  <c r="H353" i="4"/>
  <c r="I353" i="4"/>
  <c r="A354" i="4"/>
  <c r="B354" i="4"/>
  <c r="D354" i="4"/>
  <c r="E354" i="4"/>
  <c r="F354" i="4"/>
  <c r="G354" i="4"/>
  <c r="H354" i="4"/>
  <c r="I354" i="4"/>
  <c r="A355" i="4"/>
  <c r="B355" i="4"/>
  <c r="D355" i="4"/>
  <c r="E355" i="4"/>
  <c r="F355" i="4"/>
  <c r="G355" i="4"/>
  <c r="H355" i="4"/>
  <c r="I355" i="4"/>
  <c r="A356" i="4"/>
  <c r="B356" i="4"/>
  <c r="D356" i="4"/>
  <c r="E356" i="4"/>
  <c r="F356" i="4"/>
  <c r="G356" i="4"/>
  <c r="H356" i="4"/>
  <c r="I356" i="4"/>
  <c r="A357" i="4"/>
  <c r="B357" i="4"/>
  <c r="D357" i="4"/>
  <c r="E357" i="4"/>
  <c r="F357" i="4"/>
  <c r="G357" i="4"/>
  <c r="H357" i="4"/>
  <c r="I357" i="4"/>
  <c r="A358" i="4"/>
  <c r="B358" i="4"/>
  <c r="D358" i="4"/>
  <c r="E358" i="4"/>
  <c r="F358" i="4"/>
  <c r="G358" i="4"/>
  <c r="H358" i="4"/>
  <c r="I358" i="4"/>
  <c r="A359" i="4"/>
  <c r="B359" i="4"/>
  <c r="D359" i="4"/>
  <c r="E359" i="4"/>
  <c r="F359" i="4"/>
  <c r="G359" i="4"/>
  <c r="H359" i="4"/>
  <c r="I359" i="4"/>
  <c r="A360" i="4"/>
  <c r="B360" i="4"/>
  <c r="D360" i="4"/>
  <c r="E360" i="4"/>
  <c r="F360" i="4"/>
  <c r="G360" i="4"/>
  <c r="H360" i="4"/>
  <c r="I360" i="4"/>
  <c r="A361" i="4"/>
  <c r="B361" i="4"/>
  <c r="D361" i="4"/>
  <c r="E361" i="4"/>
  <c r="F361" i="4"/>
  <c r="G361" i="4"/>
  <c r="H361" i="4"/>
  <c r="I361" i="4"/>
  <c r="A362" i="4"/>
  <c r="B362" i="4"/>
  <c r="D362" i="4"/>
  <c r="E362" i="4"/>
  <c r="F362" i="4"/>
  <c r="G362" i="4"/>
  <c r="H362" i="4"/>
  <c r="I362" i="4"/>
  <c r="A363" i="4"/>
  <c r="B363" i="4"/>
  <c r="D363" i="4"/>
  <c r="E363" i="4"/>
  <c r="F363" i="4"/>
  <c r="G363" i="4"/>
  <c r="H363" i="4"/>
  <c r="I363" i="4"/>
  <c r="B349" i="4"/>
  <c r="D349" i="4"/>
  <c r="E349" i="4"/>
  <c r="F349" i="4"/>
  <c r="G349" i="4"/>
  <c r="H349" i="4"/>
  <c r="I349" i="4"/>
  <c r="A349" i="4"/>
  <c r="J373" i="2"/>
  <c r="J63" i="6" s="1"/>
  <c r="J374" i="2"/>
  <c r="J64" i="6" s="1"/>
  <c r="J405" i="2"/>
  <c r="J95" i="6" s="1"/>
  <c r="J406" i="2"/>
  <c r="J96" i="6" s="1"/>
  <c r="J407" i="2"/>
  <c r="J97" i="6" s="1"/>
  <c r="J408" i="2"/>
  <c r="J98" i="6" s="1"/>
  <c r="J372" i="2"/>
  <c r="J62" i="6" s="1"/>
  <c r="J662" i="2"/>
  <c r="J27" i="6" s="1"/>
  <c r="J663" i="2"/>
  <c r="J28" i="6" s="1"/>
  <c r="J664" i="2"/>
  <c r="J29" i="6" s="1"/>
  <c r="J665" i="2"/>
  <c r="J30" i="6" s="1"/>
  <c r="J666" i="2"/>
  <c r="J31" i="6" s="1"/>
  <c r="J667" i="2"/>
  <c r="J32" i="6" s="1"/>
  <c r="J668" i="2"/>
  <c r="J33" i="6" s="1"/>
  <c r="J669" i="2"/>
  <c r="J34" i="6" s="1"/>
  <c r="J670" i="2"/>
  <c r="J35" i="6" s="1"/>
  <c r="J671" i="2"/>
  <c r="J36" i="6" s="1"/>
  <c r="J672" i="2"/>
  <c r="J37" i="6" s="1"/>
  <c r="J673" i="2"/>
  <c r="J38" i="6" s="1"/>
  <c r="J674" i="2"/>
  <c r="J39" i="6" s="1"/>
  <c r="J675" i="2"/>
  <c r="J40" i="6" s="1"/>
  <c r="J676" i="2"/>
  <c r="J41" i="6" s="1"/>
  <c r="J643" i="2"/>
  <c r="J8" i="6" s="1"/>
  <c r="J644" i="2"/>
  <c r="J9" i="6" s="1"/>
  <c r="J645" i="2"/>
  <c r="J10" i="6" s="1"/>
  <c r="J646" i="2"/>
  <c r="J11" i="6" s="1"/>
  <c r="J647" i="2"/>
  <c r="J12" i="6" s="1"/>
  <c r="J648" i="2"/>
  <c r="J13" i="6" s="1"/>
  <c r="J649" i="2"/>
  <c r="J14" i="6" s="1"/>
  <c r="J650" i="2"/>
  <c r="J15" i="6" s="1"/>
  <c r="J651" i="2"/>
  <c r="J16" i="6" s="1"/>
  <c r="J652" i="2"/>
  <c r="J17" i="6" s="1"/>
  <c r="J653" i="2"/>
  <c r="J18" i="6" s="1"/>
  <c r="J654" i="2"/>
  <c r="J19" i="6" s="1"/>
  <c r="J655" i="2"/>
  <c r="J20" i="6" s="1"/>
  <c r="J656" i="2"/>
  <c r="J21" i="6" s="1"/>
  <c r="J657" i="2"/>
  <c r="J22" i="6" s="1"/>
  <c r="J624" i="2"/>
  <c r="J148" i="6" s="1"/>
  <c r="J625" i="2"/>
  <c r="J149" i="6" s="1"/>
  <c r="J626" i="2"/>
  <c r="J150" i="6" s="1"/>
  <c r="J627" i="2"/>
  <c r="J151" i="6" s="1"/>
  <c r="J596" i="2"/>
  <c r="J120" i="6" s="1"/>
  <c r="J597" i="2"/>
  <c r="J121" i="6" s="1"/>
  <c r="J598" i="2"/>
  <c r="J122" i="6" s="1"/>
  <c r="J587" i="2"/>
  <c r="J111" i="6" s="1"/>
  <c r="J588" i="2"/>
  <c r="J112" i="6" s="1"/>
  <c r="J589" i="2"/>
  <c r="J113" i="6" s="1"/>
  <c r="J590" i="2"/>
  <c r="J114" i="6" s="1"/>
  <c r="J591" i="2"/>
  <c r="J115" i="6" s="1"/>
  <c r="J592" i="2"/>
  <c r="J116" i="6" s="1"/>
  <c r="J593" i="2"/>
  <c r="J117" i="6" s="1"/>
  <c r="J594" i="2"/>
  <c r="J118" i="6" s="1"/>
  <c r="J595" i="2"/>
  <c r="J119" i="6" s="1"/>
  <c r="J599" i="2"/>
  <c r="J123" i="6" s="1"/>
  <c r="J600" i="2"/>
  <c r="J124" i="6" s="1"/>
  <c r="J601" i="2"/>
  <c r="J125" i="6" s="1"/>
  <c r="J602" i="2"/>
  <c r="J126" i="6" s="1"/>
  <c r="J603" i="2"/>
  <c r="J127" i="6" s="1"/>
  <c r="J604" i="2"/>
  <c r="J128" i="6" s="1"/>
  <c r="J605" i="2"/>
  <c r="J129" i="6" s="1"/>
  <c r="J606" i="2"/>
  <c r="J130" i="6" s="1"/>
  <c r="J607" i="2"/>
  <c r="J131" i="6" s="1"/>
  <c r="J608" i="2"/>
  <c r="J132" i="6" s="1"/>
  <c r="J609" i="2"/>
  <c r="J133" i="6" s="1"/>
  <c r="J610" i="2"/>
  <c r="J134" i="6" s="1"/>
  <c r="J612" i="2"/>
  <c r="J136" i="6" s="1"/>
  <c r="J613" i="2"/>
  <c r="J137" i="6" s="1"/>
  <c r="J614" i="2"/>
  <c r="J138" i="6" s="1"/>
  <c r="J615" i="2"/>
  <c r="J139" i="6" s="1"/>
  <c r="J616" i="2"/>
  <c r="J140" i="6" s="1"/>
  <c r="J617" i="2"/>
  <c r="J141" i="6" s="1"/>
  <c r="J618" i="2"/>
  <c r="J142" i="6" s="1"/>
  <c r="J619" i="2"/>
  <c r="J143" i="6" s="1"/>
  <c r="J620" i="2"/>
  <c r="J144" i="6" s="1"/>
  <c r="J621" i="2"/>
  <c r="J145" i="6" s="1"/>
  <c r="J622" i="2"/>
  <c r="J146" i="6" s="1"/>
  <c r="J623" i="2"/>
  <c r="J147" i="6" s="1"/>
  <c r="J628" i="2"/>
  <c r="J152" i="6" s="1"/>
  <c r="J629" i="2"/>
  <c r="J153" i="6" s="1"/>
  <c r="J630" i="2"/>
  <c r="J154" i="6" s="1"/>
  <c r="J631" i="2"/>
  <c r="J155" i="6" s="1"/>
  <c r="J632" i="2"/>
  <c r="J156" i="6" s="1"/>
  <c r="J633" i="2"/>
  <c r="J157" i="6" s="1"/>
  <c r="J634" i="2"/>
  <c r="J158" i="6" s="1"/>
  <c r="J635" i="2"/>
  <c r="J159" i="6" s="1"/>
  <c r="J636" i="2"/>
  <c r="J160" i="6" s="1"/>
  <c r="J637" i="2"/>
  <c r="J161" i="6" s="1"/>
  <c r="J638" i="2"/>
  <c r="J162" i="6" s="1"/>
  <c r="H41" i="14" l="1"/>
  <c r="I41" i="14" s="1"/>
  <c r="C15" i="14"/>
  <c r="F15" i="14"/>
  <c r="H46" i="14"/>
  <c r="I46" i="14" s="1"/>
  <c r="J772" i="2"/>
  <c r="J393" i="4" s="1"/>
  <c r="J773" i="2"/>
  <c r="J394" i="4" s="1"/>
  <c r="J774" i="2"/>
  <c r="J395" i="4" s="1"/>
  <c r="J775" i="2"/>
  <c r="J396" i="4" s="1"/>
  <c r="J776" i="2"/>
  <c r="J397" i="4" s="1"/>
  <c r="J762" i="2"/>
  <c r="J383" i="4" s="1"/>
  <c r="J763" i="2"/>
  <c r="J384" i="4" s="1"/>
  <c r="J764" i="2"/>
  <c r="J385" i="4" s="1"/>
  <c r="J765" i="2"/>
  <c r="J386" i="4" s="1"/>
  <c r="J766" i="2"/>
  <c r="J387" i="4" s="1"/>
  <c r="J767" i="2"/>
  <c r="J388" i="4" s="1"/>
  <c r="J768" i="2"/>
  <c r="J389" i="4" s="1"/>
  <c r="J769" i="2"/>
  <c r="J390" i="4" s="1"/>
  <c r="J770" i="2"/>
  <c r="J391" i="4" s="1"/>
  <c r="J771" i="2"/>
  <c r="J392" i="4" s="1"/>
  <c r="J754" i="2"/>
  <c r="J375" i="4" s="1"/>
  <c r="J755" i="2"/>
  <c r="J376" i="4" s="1"/>
  <c r="J756" i="2"/>
  <c r="J377" i="4" s="1"/>
  <c r="J757" i="2"/>
  <c r="J378" i="4" s="1"/>
  <c r="J758" i="2"/>
  <c r="J379" i="4" s="1"/>
  <c r="J759" i="2"/>
  <c r="J380" i="4" s="1"/>
  <c r="J760" i="2"/>
  <c r="J381" i="4" s="1"/>
  <c r="J761" i="2"/>
  <c r="J382" i="4" s="1"/>
  <c r="J125" i="2" l="1"/>
  <c r="J126" i="2"/>
  <c r="J127" i="2"/>
  <c r="J128" i="2"/>
  <c r="J129" i="2"/>
  <c r="J130" i="2"/>
  <c r="J131" i="2"/>
  <c r="J132" i="2"/>
  <c r="A4" i="6" l="1"/>
  <c r="A145" i="5" l="1"/>
  <c r="A120" i="5"/>
  <c r="A95" i="5"/>
  <c r="A70" i="5"/>
  <c r="A45" i="5"/>
  <c r="A20" i="5"/>
  <c r="A4" i="5"/>
  <c r="A48" i="8"/>
  <c r="A42" i="8"/>
  <c r="A323" i="4"/>
  <c r="A298" i="4"/>
  <c r="A273" i="4"/>
  <c r="A248" i="4"/>
  <c r="A226" i="4"/>
  <c r="A204" i="4"/>
  <c r="A179" i="4"/>
  <c r="A154" i="4"/>
  <c r="A129" i="4"/>
  <c r="A104" i="4"/>
  <c r="A79" i="4"/>
  <c r="A54" i="4"/>
  <c r="A29" i="4"/>
  <c r="A4" i="4"/>
  <c r="J753" i="2"/>
  <c r="J374" i="4" s="1"/>
  <c r="J751" i="2"/>
  <c r="J372" i="4" s="1"/>
  <c r="J750" i="2"/>
  <c r="J371" i="4" s="1"/>
  <c r="J749" i="2"/>
  <c r="J370" i="4" s="1"/>
  <c r="J748" i="2"/>
  <c r="J369" i="4" s="1"/>
  <c r="J747" i="2"/>
  <c r="J368" i="4" s="1"/>
  <c r="J746" i="2"/>
  <c r="J367" i="4" s="1"/>
  <c r="J745" i="2"/>
  <c r="J366" i="4" s="1"/>
  <c r="J744" i="2"/>
  <c r="J365" i="4" s="1"/>
  <c r="J743" i="2"/>
  <c r="J364" i="4" s="1"/>
  <c r="J742" i="2"/>
  <c r="J363" i="4" s="1"/>
  <c r="J741" i="2"/>
  <c r="J362" i="4" s="1"/>
  <c r="J740" i="2"/>
  <c r="J361" i="4" s="1"/>
  <c r="J739" i="2"/>
  <c r="J360" i="4" s="1"/>
  <c r="J738" i="2"/>
  <c r="J359" i="4" s="1"/>
  <c r="J737" i="2"/>
  <c r="J358" i="4" s="1"/>
  <c r="J736" i="2"/>
  <c r="J357" i="4" s="1"/>
  <c r="J735" i="2"/>
  <c r="J356" i="4" s="1"/>
  <c r="J734" i="2"/>
  <c r="J355" i="4" s="1"/>
  <c r="J733" i="2"/>
  <c r="J354" i="4" s="1"/>
  <c r="J732" i="2"/>
  <c r="J353" i="4" s="1"/>
  <c r="J731" i="2"/>
  <c r="J352" i="4" s="1"/>
  <c r="J730" i="2"/>
  <c r="J351" i="4" s="1"/>
  <c r="J729" i="2"/>
  <c r="J350" i="4" s="1"/>
  <c r="J728" i="2"/>
  <c r="J349" i="4" s="1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8" i="2"/>
  <c r="J687" i="2"/>
  <c r="J686" i="2"/>
  <c r="J685" i="2"/>
  <c r="J684" i="2"/>
  <c r="J682" i="2"/>
  <c r="J681" i="2"/>
  <c r="J680" i="2"/>
  <c r="J679" i="2"/>
  <c r="J678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5" i="2"/>
  <c r="J534" i="2"/>
  <c r="J533" i="2"/>
  <c r="J532" i="2"/>
  <c r="J527" i="2"/>
  <c r="J526" i="2"/>
  <c r="J525" i="2"/>
  <c r="J524" i="2"/>
  <c r="J519" i="2"/>
  <c r="J518" i="2"/>
  <c r="J517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19" i="2"/>
  <c r="J109" i="6" s="1"/>
  <c r="J418" i="2"/>
  <c r="J108" i="6" s="1"/>
  <c r="J417" i="2"/>
  <c r="J107" i="6" s="1"/>
  <c r="J416" i="2"/>
  <c r="J106" i="6" s="1"/>
  <c r="J415" i="2"/>
  <c r="J105" i="6" s="1"/>
  <c r="J414" i="2"/>
  <c r="J104" i="6" s="1"/>
  <c r="J413" i="2"/>
  <c r="J103" i="6" s="1"/>
  <c r="J412" i="2"/>
  <c r="J102" i="6" s="1"/>
  <c r="J411" i="2"/>
  <c r="J101" i="6" s="1"/>
  <c r="J410" i="2"/>
  <c r="J100" i="6" s="1"/>
  <c r="J409" i="2"/>
  <c r="J99" i="6" s="1"/>
  <c r="J404" i="2"/>
  <c r="J94" i="6" s="1"/>
  <c r="J403" i="2"/>
  <c r="J93" i="6" s="1"/>
  <c r="J402" i="2"/>
  <c r="J92" i="6" s="1"/>
  <c r="J401" i="2"/>
  <c r="J91" i="6" s="1"/>
  <c r="J400" i="2"/>
  <c r="J90" i="6" s="1"/>
  <c r="J399" i="2"/>
  <c r="J89" i="6" s="1"/>
  <c r="J398" i="2"/>
  <c r="J88" i="6" s="1"/>
  <c r="J397" i="2"/>
  <c r="J87" i="6" s="1"/>
  <c r="J396" i="2"/>
  <c r="J86" i="6" s="1"/>
  <c r="J395" i="2"/>
  <c r="J85" i="6" s="1"/>
  <c r="J394" i="2"/>
  <c r="J84" i="6" s="1"/>
  <c r="J393" i="2"/>
  <c r="J83" i="6" s="1"/>
  <c r="J392" i="2"/>
  <c r="J82" i="6" s="1"/>
  <c r="J391" i="2"/>
  <c r="J81" i="6" s="1"/>
  <c r="J390" i="2"/>
  <c r="J80" i="6" s="1"/>
  <c r="J389" i="2"/>
  <c r="J79" i="6" s="1"/>
  <c r="J388" i="2"/>
  <c r="J78" i="6" s="1"/>
  <c r="J387" i="2"/>
  <c r="J77" i="6" s="1"/>
  <c r="J385" i="2"/>
  <c r="J75" i="6" s="1"/>
  <c r="J384" i="2"/>
  <c r="J74" i="6" s="1"/>
  <c r="J383" i="2"/>
  <c r="J73" i="6" s="1"/>
  <c r="J382" i="2"/>
  <c r="J72" i="6" s="1"/>
  <c r="J381" i="2"/>
  <c r="J71" i="6" s="1"/>
  <c r="J380" i="2"/>
  <c r="J70" i="6" s="1"/>
  <c r="J379" i="2"/>
  <c r="J69" i="6" s="1"/>
  <c r="J378" i="2"/>
  <c r="J68" i="6" s="1"/>
  <c r="J377" i="2"/>
  <c r="J67" i="6" s="1"/>
  <c r="J376" i="2"/>
  <c r="J66" i="6" s="1"/>
  <c r="J375" i="2"/>
  <c r="J65" i="6" s="1"/>
  <c r="J367" i="2"/>
  <c r="J57" i="6" s="1"/>
  <c r="J366" i="2"/>
  <c r="J56" i="6" s="1"/>
  <c r="J365" i="2"/>
  <c r="J55" i="6" s="1"/>
  <c r="J364" i="2"/>
  <c r="J54" i="6" s="1"/>
  <c r="J363" i="2"/>
  <c r="J53" i="6" s="1"/>
  <c r="J362" i="2"/>
  <c r="J52" i="6" s="1"/>
  <c r="J361" i="2"/>
  <c r="J51" i="6" s="1"/>
  <c r="J360" i="2"/>
  <c r="J50" i="6" s="1"/>
  <c r="J359" i="2"/>
  <c r="J49" i="6" s="1"/>
  <c r="J358" i="2"/>
  <c r="J48" i="6" s="1"/>
  <c r="J357" i="2"/>
  <c r="J47" i="6" s="1"/>
  <c r="J356" i="2"/>
  <c r="J46" i="6" s="1"/>
  <c r="J355" i="2"/>
  <c r="J45" i="6" s="1"/>
  <c r="J354" i="2"/>
  <c r="J44" i="6" s="1"/>
  <c r="J353" i="2"/>
  <c r="J43" i="6" s="1"/>
  <c r="J661" i="2"/>
  <c r="J26" i="6" s="1"/>
  <c r="J660" i="2"/>
  <c r="J25" i="6" s="1"/>
  <c r="J659" i="2"/>
  <c r="J24" i="6" s="1"/>
  <c r="J642" i="2"/>
  <c r="J7" i="6" s="1"/>
  <c r="J641" i="2"/>
  <c r="J6" i="6" s="1"/>
  <c r="J640" i="2"/>
  <c r="J5" i="6" s="1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A348" i="4" l="1"/>
  <c r="I53" i="8" l="1"/>
  <c r="H53" i="8"/>
  <c r="G53" i="8"/>
  <c r="F53" i="8"/>
  <c r="E53" i="8"/>
  <c r="D53" i="8"/>
  <c r="B53" i="8"/>
  <c r="A53" i="8"/>
  <c r="I52" i="8"/>
  <c r="H52" i="8"/>
  <c r="G52" i="8"/>
  <c r="F52" i="8"/>
  <c r="E52" i="8"/>
  <c r="D52" i="8"/>
  <c r="B52" i="8"/>
  <c r="A52" i="8"/>
  <c r="I51" i="8"/>
  <c r="H51" i="8"/>
  <c r="G51" i="8"/>
  <c r="F51" i="8"/>
  <c r="E51" i="8"/>
  <c r="D51" i="8"/>
  <c r="B51" i="8"/>
  <c r="A51" i="8"/>
  <c r="I50" i="8"/>
  <c r="H50" i="8"/>
  <c r="G50" i="8"/>
  <c r="F50" i="8"/>
  <c r="E50" i="8"/>
  <c r="D50" i="8"/>
  <c r="B50" i="8"/>
  <c r="A50" i="8"/>
  <c r="I49" i="8"/>
  <c r="H49" i="8"/>
  <c r="G49" i="8"/>
  <c r="F49" i="8"/>
  <c r="E49" i="8"/>
  <c r="D49" i="8"/>
  <c r="B49" i="8"/>
  <c r="A49" i="8"/>
  <c r="I47" i="8"/>
  <c r="H47" i="8"/>
  <c r="G47" i="8"/>
  <c r="F47" i="8"/>
  <c r="E47" i="8"/>
  <c r="D47" i="8"/>
  <c r="B47" i="8"/>
  <c r="A47" i="8"/>
  <c r="I46" i="8"/>
  <c r="H46" i="8"/>
  <c r="G46" i="8"/>
  <c r="F46" i="8"/>
  <c r="E46" i="8"/>
  <c r="D46" i="8"/>
  <c r="B46" i="8"/>
  <c r="A46" i="8"/>
  <c r="I45" i="8"/>
  <c r="H45" i="8"/>
  <c r="G45" i="8"/>
  <c r="F45" i="8"/>
  <c r="E45" i="8"/>
  <c r="D45" i="8"/>
  <c r="B45" i="8"/>
  <c r="A45" i="8"/>
  <c r="I44" i="8"/>
  <c r="H44" i="8"/>
  <c r="G44" i="8"/>
  <c r="F44" i="8"/>
  <c r="E44" i="8"/>
  <c r="D44" i="8"/>
  <c r="B44" i="8"/>
  <c r="A44" i="8"/>
  <c r="I43" i="8"/>
  <c r="H43" i="8"/>
  <c r="G43" i="8"/>
  <c r="F43" i="8"/>
  <c r="E43" i="8"/>
  <c r="D43" i="8"/>
  <c r="B43" i="8"/>
  <c r="A43" i="8"/>
  <c r="B5" i="8"/>
  <c r="D5" i="8"/>
  <c r="E5" i="8"/>
  <c r="F5" i="8"/>
  <c r="G5" i="8"/>
  <c r="H5" i="8"/>
  <c r="I5" i="8"/>
  <c r="B6" i="8"/>
  <c r="D6" i="8"/>
  <c r="E6" i="8"/>
  <c r="F6" i="8"/>
  <c r="G6" i="8"/>
  <c r="H6" i="8"/>
  <c r="I6" i="8"/>
  <c r="B7" i="8"/>
  <c r="D7" i="8"/>
  <c r="E7" i="8"/>
  <c r="F7" i="8"/>
  <c r="G7" i="8"/>
  <c r="H7" i="8"/>
  <c r="I7" i="8"/>
  <c r="B8" i="8"/>
  <c r="D8" i="8"/>
  <c r="E8" i="8"/>
  <c r="F8" i="8"/>
  <c r="G8" i="8"/>
  <c r="H8" i="8"/>
  <c r="I8" i="8"/>
  <c r="B9" i="8"/>
  <c r="D9" i="8"/>
  <c r="E9" i="8"/>
  <c r="F9" i="8"/>
  <c r="G9" i="8"/>
  <c r="H9" i="8"/>
  <c r="I9" i="8"/>
  <c r="B10" i="8"/>
  <c r="D10" i="8"/>
  <c r="E10" i="8"/>
  <c r="F10" i="8"/>
  <c r="G10" i="8"/>
  <c r="H10" i="8"/>
  <c r="I10" i="8"/>
  <c r="B11" i="8"/>
  <c r="D11" i="8"/>
  <c r="E11" i="8"/>
  <c r="F11" i="8"/>
  <c r="G11" i="8"/>
  <c r="H11" i="8"/>
  <c r="I11" i="8"/>
  <c r="B12" i="8"/>
  <c r="D12" i="8"/>
  <c r="E12" i="8"/>
  <c r="F12" i="8"/>
  <c r="G12" i="8"/>
  <c r="H12" i="8"/>
  <c r="I12" i="8"/>
  <c r="B13" i="8"/>
  <c r="D13" i="8"/>
  <c r="E13" i="8"/>
  <c r="F13" i="8"/>
  <c r="G13" i="8"/>
  <c r="H13" i="8"/>
  <c r="I13" i="8"/>
  <c r="B14" i="8"/>
  <c r="D14" i="8"/>
  <c r="E14" i="8"/>
  <c r="F14" i="8"/>
  <c r="G14" i="8"/>
  <c r="H14" i="8"/>
  <c r="I14" i="8"/>
  <c r="B15" i="8"/>
  <c r="D15" i="8"/>
  <c r="E15" i="8"/>
  <c r="F15" i="8"/>
  <c r="G15" i="8"/>
  <c r="H15" i="8"/>
  <c r="I15" i="8"/>
  <c r="B16" i="8"/>
  <c r="D16" i="8"/>
  <c r="E16" i="8"/>
  <c r="F16" i="8"/>
  <c r="G16" i="8"/>
  <c r="H16" i="8"/>
  <c r="I16" i="8"/>
  <c r="B17" i="8"/>
  <c r="D17" i="8"/>
  <c r="E17" i="8"/>
  <c r="F17" i="8"/>
  <c r="G17" i="8"/>
  <c r="H17" i="8"/>
  <c r="I17" i="8"/>
  <c r="B18" i="8"/>
  <c r="D18" i="8"/>
  <c r="E18" i="8"/>
  <c r="F18" i="8"/>
  <c r="G18" i="8"/>
  <c r="H18" i="8"/>
  <c r="I18" i="8"/>
  <c r="B19" i="8"/>
  <c r="D19" i="8"/>
  <c r="E19" i="8"/>
  <c r="F19" i="8"/>
  <c r="G19" i="8"/>
  <c r="H19" i="8"/>
  <c r="I19" i="8"/>
  <c r="B20" i="8"/>
  <c r="D20" i="8"/>
  <c r="E20" i="8"/>
  <c r="F20" i="8"/>
  <c r="G20" i="8"/>
  <c r="H20" i="8"/>
  <c r="I20" i="8"/>
  <c r="B21" i="8"/>
  <c r="D21" i="8"/>
  <c r="E21" i="8"/>
  <c r="F21" i="8"/>
  <c r="G21" i="8"/>
  <c r="H21" i="8"/>
  <c r="I21" i="8"/>
  <c r="B22" i="8"/>
  <c r="D22" i="8"/>
  <c r="E22" i="8"/>
  <c r="F22" i="8"/>
  <c r="G22" i="8"/>
  <c r="H22" i="8"/>
  <c r="I22" i="8"/>
  <c r="B24" i="8"/>
  <c r="D24" i="8"/>
  <c r="E24" i="8"/>
  <c r="F24" i="8"/>
  <c r="G24" i="8"/>
  <c r="H24" i="8"/>
  <c r="I24" i="8"/>
  <c r="B25" i="8"/>
  <c r="D25" i="8"/>
  <c r="E25" i="8"/>
  <c r="F25" i="8"/>
  <c r="G25" i="8"/>
  <c r="H25" i="8"/>
  <c r="I25" i="8"/>
  <c r="B26" i="8"/>
  <c r="D26" i="8"/>
  <c r="E26" i="8"/>
  <c r="F26" i="8"/>
  <c r="G26" i="8"/>
  <c r="H26" i="8"/>
  <c r="I26" i="8"/>
  <c r="B27" i="8"/>
  <c r="D27" i="8"/>
  <c r="E27" i="8"/>
  <c r="F27" i="8"/>
  <c r="G27" i="8"/>
  <c r="H27" i="8"/>
  <c r="I27" i="8"/>
  <c r="B28" i="8"/>
  <c r="D28" i="8"/>
  <c r="E28" i="8"/>
  <c r="F28" i="8"/>
  <c r="G28" i="8"/>
  <c r="H28" i="8"/>
  <c r="I28" i="8"/>
  <c r="B29" i="8"/>
  <c r="D29" i="8"/>
  <c r="E29" i="8"/>
  <c r="F29" i="8"/>
  <c r="G29" i="8"/>
  <c r="H29" i="8"/>
  <c r="I29" i="8"/>
  <c r="B30" i="8"/>
  <c r="D30" i="8"/>
  <c r="E30" i="8"/>
  <c r="F30" i="8"/>
  <c r="G30" i="8"/>
  <c r="H30" i="8"/>
  <c r="I30" i="8"/>
  <c r="B31" i="8"/>
  <c r="D31" i="8"/>
  <c r="E31" i="8"/>
  <c r="F31" i="8"/>
  <c r="G31" i="8"/>
  <c r="H31" i="8"/>
  <c r="I31" i="8"/>
  <c r="B32" i="8"/>
  <c r="D32" i="8"/>
  <c r="E32" i="8"/>
  <c r="F32" i="8"/>
  <c r="G32" i="8"/>
  <c r="H32" i="8"/>
  <c r="I32" i="8"/>
  <c r="B33" i="8"/>
  <c r="D33" i="8"/>
  <c r="E33" i="8"/>
  <c r="F33" i="8"/>
  <c r="G33" i="8"/>
  <c r="H33" i="8"/>
  <c r="I33" i="8"/>
  <c r="B34" i="8"/>
  <c r="D34" i="8"/>
  <c r="E34" i="8"/>
  <c r="F34" i="8"/>
  <c r="G34" i="8"/>
  <c r="H34" i="8"/>
  <c r="I34" i="8"/>
  <c r="B35" i="8"/>
  <c r="D35" i="8"/>
  <c r="E35" i="8"/>
  <c r="F35" i="8"/>
  <c r="G35" i="8"/>
  <c r="H35" i="8"/>
  <c r="I35" i="8"/>
  <c r="B36" i="8"/>
  <c r="D36" i="8"/>
  <c r="E36" i="8"/>
  <c r="F36" i="8"/>
  <c r="G36" i="8"/>
  <c r="H36" i="8"/>
  <c r="I36" i="8"/>
  <c r="B37" i="8"/>
  <c r="D37" i="8"/>
  <c r="E37" i="8"/>
  <c r="F37" i="8"/>
  <c r="G37" i="8"/>
  <c r="H37" i="8"/>
  <c r="I37" i="8"/>
  <c r="B38" i="8"/>
  <c r="D38" i="8"/>
  <c r="E38" i="8"/>
  <c r="F38" i="8"/>
  <c r="G38" i="8"/>
  <c r="H38" i="8"/>
  <c r="I38" i="8"/>
  <c r="B39" i="8"/>
  <c r="D39" i="8"/>
  <c r="E39" i="8"/>
  <c r="F39" i="8"/>
  <c r="G39" i="8"/>
  <c r="H39" i="8"/>
  <c r="I39" i="8"/>
  <c r="B40" i="8"/>
  <c r="D40" i="8"/>
  <c r="E40" i="8"/>
  <c r="F40" i="8"/>
  <c r="G40" i="8"/>
  <c r="H40" i="8"/>
  <c r="I40" i="8"/>
  <c r="B41" i="8"/>
  <c r="D41" i="8"/>
  <c r="E41" i="8"/>
  <c r="F41" i="8"/>
  <c r="G41" i="8"/>
  <c r="H41" i="8"/>
  <c r="I41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24" i="8"/>
  <c r="J22" i="8"/>
  <c r="J21" i="8"/>
  <c r="J20" i="8"/>
  <c r="J19" i="8"/>
  <c r="J18" i="8"/>
  <c r="J17" i="8"/>
  <c r="J11" i="8"/>
  <c r="J12" i="8"/>
  <c r="J13" i="8"/>
  <c r="J14" i="8"/>
  <c r="J15" i="8"/>
  <c r="J16" i="8"/>
  <c r="J6" i="8"/>
  <c r="J7" i="8"/>
  <c r="J8" i="8"/>
  <c r="J9" i="8"/>
  <c r="J10" i="8"/>
  <c r="J5" i="8"/>
  <c r="J53" i="8"/>
  <c r="J52" i="8"/>
  <c r="J51" i="8"/>
  <c r="J50" i="8"/>
  <c r="J49" i="8"/>
  <c r="J47" i="8"/>
  <c r="J46" i="8"/>
  <c r="J45" i="8"/>
  <c r="J44" i="8"/>
  <c r="J43" i="8"/>
  <c r="I8" i="4"/>
  <c r="A325" i="4"/>
  <c r="B325" i="4"/>
  <c r="D325" i="4"/>
  <c r="E325" i="4"/>
  <c r="F325" i="4"/>
  <c r="G325" i="4"/>
  <c r="H325" i="4"/>
  <c r="I325" i="4"/>
  <c r="A326" i="4"/>
  <c r="B326" i="4"/>
  <c r="D326" i="4"/>
  <c r="E326" i="4"/>
  <c r="F326" i="4"/>
  <c r="G326" i="4"/>
  <c r="H326" i="4"/>
  <c r="I326" i="4"/>
  <c r="A327" i="4"/>
  <c r="B327" i="4"/>
  <c r="D327" i="4"/>
  <c r="E327" i="4"/>
  <c r="F327" i="4"/>
  <c r="G327" i="4"/>
  <c r="H327" i="4"/>
  <c r="I327" i="4"/>
  <c r="A328" i="4"/>
  <c r="B328" i="4"/>
  <c r="D328" i="4"/>
  <c r="E328" i="4"/>
  <c r="F328" i="4"/>
  <c r="G328" i="4"/>
  <c r="H328" i="4"/>
  <c r="I328" i="4"/>
  <c r="A329" i="4"/>
  <c r="B329" i="4"/>
  <c r="D329" i="4"/>
  <c r="E329" i="4"/>
  <c r="F329" i="4"/>
  <c r="G329" i="4"/>
  <c r="H329" i="4"/>
  <c r="I329" i="4"/>
  <c r="A330" i="4"/>
  <c r="B330" i="4"/>
  <c r="D330" i="4"/>
  <c r="E330" i="4"/>
  <c r="F330" i="4"/>
  <c r="G330" i="4"/>
  <c r="H330" i="4"/>
  <c r="I330" i="4"/>
  <c r="A331" i="4"/>
  <c r="B331" i="4"/>
  <c r="D331" i="4"/>
  <c r="E331" i="4"/>
  <c r="F331" i="4"/>
  <c r="G331" i="4"/>
  <c r="H331" i="4"/>
  <c r="I331" i="4"/>
  <c r="A332" i="4"/>
  <c r="B332" i="4"/>
  <c r="D332" i="4"/>
  <c r="E332" i="4"/>
  <c r="F332" i="4"/>
  <c r="G332" i="4"/>
  <c r="H332" i="4"/>
  <c r="I332" i="4"/>
  <c r="A333" i="4"/>
  <c r="B333" i="4"/>
  <c r="D333" i="4"/>
  <c r="E333" i="4"/>
  <c r="F333" i="4"/>
  <c r="G333" i="4"/>
  <c r="H333" i="4"/>
  <c r="I333" i="4"/>
  <c r="A334" i="4"/>
  <c r="B334" i="4"/>
  <c r="D334" i="4"/>
  <c r="E334" i="4"/>
  <c r="F334" i="4"/>
  <c r="G334" i="4"/>
  <c r="H334" i="4"/>
  <c r="I334" i="4"/>
  <c r="A335" i="4"/>
  <c r="B335" i="4"/>
  <c r="D335" i="4"/>
  <c r="E335" i="4"/>
  <c r="F335" i="4"/>
  <c r="G335" i="4"/>
  <c r="H335" i="4"/>
  <c r="I335" i="4"/>
  <c r="A336" i="4"/>
  <c r="B336" i="4"/>
  <c r="D336" i="4"/>
  <c r="E336" i="4"/>
  <c r="F336" i="4"/>
  <c r="G336" i="4"/>
  <c r="H336" i="4"/>
  <c r="I336" i="4"/>
  <c r="A337" i="4"/>
  <c r="B337" i="4"/>
  <c r="D337" i="4"/>
  <c r="E337" i="4"/>
  <c r="F337" i="4"/>
  <c r="G337" i="4"/>
  <c r="H337" i="4"/>
  <c r="I337" i="4"/>
  <c r="A338" i="4"/>
  <c r="B338" i="4"/>
  <c r="D338" i="4"/>
  <c r="E338" i="4"/>
  <c r="F338" i="4"/>
  <c r="G338" i="4"/>
  <c r="H338" i="4"/>
  <c r="I338" i="4"/>
  <c r="A339" i="4"/>
  <c r="B339" i="4"/>
  <c r="D339" i="4"/>
  <c r="E339" i="4"/>
  <c r="F339" i="4"/>
  <c r="G339" i="4"/>
  <c r="H339" i="4"/>
  <c r="I339" i="4"/>
  <c r="A340" i="4"/>
  <c r="B340" i="4"/>
  <c r="D340" i="4"/>
  <c r="E340" i="4"/>
  <c r="F340" i="4"/>
  <c r="G340" i="4"/>
  <c r="H340" i="4"/>
  <c r="I340" i="4"/>
  <c r="A341" i="4"/>
  <c r="B341" i="4"/>
  <c r="D341" i="4"/>
  <c r="E341" i="4"/>
  <c r="F341" i="4"/>
  <c r="G341" i="4"/>
  <c r="H341" i="4"/>
  <c r="I341" i="4"/>
  <c r="A342" i="4"/>
  <c r="B342" i="4"/>
  <c r="D342" i="4"/>
  <c r="E342" i="4"/>
  <c r="F342" i="4"/>
  <c r="G342" i="4"/>
  <c r="H342" i="4"/>
  <c r="I342" i="4"/>
  <c r="A343" i="4"/>
  <c r="B343" i="4"/>
  <c r="D343" i="4"/>
  <c r="E343" i="4"/>
  <c r="F343" i="4"/>
  <c r="G343" i="4"/>
  <c r="H343" i="4"/>
  <c r="I343" i="4"/>
  <c r="A344" i="4"/>
  <c r="B344" i="4"/>
  <c r="D344" i="4"/>
  <c r="E344" i="4"/>
  <c r="F344" i="4"/>
  <c r="G344" i="4"/>
  <c r="H344" i="4"/>
  <c r="I344" i="4"/>
  <c r="A345" i="4"/>
  <c r="B345" i="4"/>
  <c r="D345" i="4"/>
  <c r="E345" i="4"/>
  <c r="F345" i="4"/>
  <c r="G345" i="4"/>
  <c r="H345" i="4"/>
  <c r="I345" i="4"/>
  <c r="A346" i="4"/>
  <c r="B346" i="4"/>
  <c r="D346" i="4"/>
  <c r="E346" i="4"/>
  <c r="F346" i="4"/>
  <c r="G346" i="4"/>
  <c r="H346" i="4"/>
  <c r="I346" i="4"/>
  <c r="A347" i="4"/>
  <c r="B347" i="4"/>
  <c r="D347" i="4"/>
  <c r="E347" i="4"/>
  <c r="F347" i="4"/>
  <c r="G347" i="4"/>
  <c r="H347" i="4"/>
  <c r="I347" i="4"/>
  <c r="B324" i="4"/>
  <c r="D324" i="4"/>
  <c r="E324" i="4"/>
  <c r="F324" i="4"/>
  <c r="G324" i="4"/>
  <c r="H324" i="4"/>
  <c r="I324" i="4"/>
  <c r="A324" i="4"/>
  <c r="A300" i="4"/>
  <c r="B300" i="4"/>
  <c r="D300" i="4"/>
  <c r="E300" i="4"/>
  <c r="F300" i="4"/>
  <c r="G300" i="4"/>
  <c r="H300" i="4"/>
  <c r="I300" i="4"/>
  <c r="A301" i="4"/>
  <c r="B301" i="4"/>
  <c r="D301" i="4"/>
  <c r="E301" i="4"/>
  <c r="F301" i="4"/>
  <c r="G301" i="4"/>
  <c r="H301" i="4"/>
  <c r="I301" i="4"/>
  <c r="A302" i="4"/>
  <c r="B302" i="4"/>
  <c r="D302" i="4"/>
  <c r="E302" i="4"/>
  <c r="F302" i="4"/>
  <c r="G302" i="4"/>
  <c r="H302" i="4"/>
  <c r="I302" i="4"/>
  <c r="A303" i="4"/>
  <c r="B303" i="4"/>
  <c r="D303" i="4"/>
  <c r="E303" i="4"/>
  <c r="F303" i="4"/>
  <c r="G303" i="4"/>
  <c r="H303" i="4"/>
  <c r="I303" i="4"/>
  <c r="A304" i="4"/>
  <c r="B304" i="4"/>
  <c r="D304" i="4"/>
  <c r="E304" i="4"/>
  <c r="F304" i="4"/>
  <c r="G304" i="4"/>
  <c r="H304" i="4"/>
  <c r="I304" i="4"/>
  <c r="A305" i="4"/>
  <c r="B305" i="4"/>
  <c r="D305" i="4"/>
  <c r="E305" i="4"/>
  <c r="F305" i="4"/>
  <c r="G305" i="4"/>
  <c r="H305" i="4"/>
  <c r="I305" i="4"/>
  <c r="A306" i="4"/>
  <c r="B306" i="4"/>
  <c r="D306" i="4"/>
  <c r="E306" i="4"/>
  <c r="F306" i="4"/>
  <c r="G306" i="4"/>
  <c r="H306" i="4"/>
  <c r="I306" i="4"/>
  <c r="A307" i="4"/>
  <c r="B307" i="4"/>
  <c r="D307" i="4"/>
  <c r="E307" i="4"/>
  <c r="F307" i="4"/>
  <c r="G307" i="4"/>
  <c r="H307" i="4"/>
  <c r="I307" i="4"/>
  <c r="A308" i="4"/>
  <c r="B308" i="4"/>
  <c r="D308" i="4"/>
  <c r="E308" i="4"/>
  <c r="F308" i="4"/>
  <c r="G308" i="4"/>
  <c r="H308" i="4"/>
  <c r="I308" i="4"/>
  <c r="A309" i="4"/>
  <c r="B309" i="4"/>
  <c r="D309" i="4"/>
  <c r="E309" i="4"/>
  <c r="F309" i="4"/>
  <c r="G309" i="4"/>
  <c r="H309" i="4"/>
  <c r="I309" i="4"/>
  <c r="A310" i="4"/>
  <c r="B310" i="4"/>
  <c r="D310" i="4"/>
  <c r="E310" i="4"/>
  <c r="F310" i="4"/>
  <c r="G310" i="4"/>
  <c r="H310" i="4"/>
  <c r="I310" i="4"/>
  <c r="A311" i="4"/>
  <c r="B311" i="4"/>
  <c r="D311" i="4"/>
  <c r="E311" i="4"/>
  <c r="F311" i="4"/>
  <c r="G311" i="4"/>
  <c r="H311" i="4"/>
  <c r="I311" i="4"/>
  <c r="A312" i="4"/>
  <c r="B312" i="4"/>
  <c r="D312" i="4"/>
  <c r="E312" i="4"/>
  <c r="F312" i="4"/>
  <c r="G312" i="4"/>
  <c r="H312" i="4"/>
  <c r="I312" i="4"/>
  <c r="A313" i="4"/>
  <c r="B313" i="4"/>
  <c r="D313" i="4"/>
  <c r="E313" i="4"/>
  <c r="F313" i="4"/>
  <c r="G313" i="4"/>
  <c r="H313" i="4"/>
  <c r="I313" i="4"/>
  <c r="A314" i="4"/>
  <c r="B314" i="4"/>
  <c r="D314" i="4"/>
  <c r="E314" i="4"/>
  <c r="F314" i="4"/>
  <c r="G314" i="4"/>
  <c r="H314" i="4"/>
  <c r="I314" i="4"/>
  <c r="A315" i="4"/>
  <c r="B315" i="4"/>
  <c r="D315" i="4"/>
  <c r="E315" i="4"/>
  <c r="F315" i="4"/>
  <c r="G315" i="4"/>
  <c r="H315" i="4"/>
  <c r="I315" i="4"/>
  <c r="A316" i="4"/>
  <c r="B316" i="4"/>
  <c r="D316" i="4"/>
  <c r="E316" i="4"/>
  <c r="F316" i="4"/>
  <c r="G316" i="4"/>
  <c r="H316" i="4"/>
  <c r="I316" i="4"/>
  <c r="A317" i="4"/>
  <c r="B317" i="4"/>
  <c r="D317" i="4"/>
  <c r="E317" i="4"/>
  <c r="F317" i="4"/>
  <c r="G317" i="4"/>
  <c r="H317" i="4"/>
  <c r="I317" i="4"/>
  <c r="A318" i="4"/>
  <c r="B318" i="4"/>
  <c r="D318" i="4"/>
  <c r="E318" i="4"/>
  <c r="F318" i="4"/>
  <c r="G318" i="4"/>
  <c r="H318" i="4"/>
  <c r="I318" i="4"/>
  <c r="A319" i="4"/>
  <c r="B319" i="4"/>
  <c r="D319" i="4"/>
  <c r="E319" i="4"/>
  <c r="F319" i="4"/>
  <c r="G319" i="4"/>
  <c r="H319" i="4"/>
  <c r="I319" i="4"/>
  <c r="A320" i="4"/>
  <c r="B320" i="4"/>
  <c r="D320" i="4"/>
  <c r="E320" i="4"/>
  <c r="F320" i="4"/>
  <c r="G320" i="4"/>
  <c r="H320" i="4"/>
  <c r="I320" i="4"/>
  <c r="A321" i="4"/>
  <c r="B321" i="4"/>
  <c r="D321" i="4"/>
  <c r="E321" i="4"/>
  <c r="F321" i="4"/>
  <c r="G321" i="4"/>
  <c r="H321" i="4"/>
  <c r="I321" i="4"/>
  <c r="A322" i="4"/>
  <c r="B322" i="4"/>
  <c r="D322" i="4"/>
  <c r="E322" i="4"/>
  <c r="F322" i="4"/>
  <c r="G322" i="4"/>
  <c r="H322" i="4"/>
  <c r="I322" i="4"/>
  <c r="B299" i="4"/>
  <c r="D299" i="4"/>
  <c r="E299" i="4"/>
  <c r="F299" i="4"/>
  <c r="G299" i="4"/>
  <c r="H299" i="4"/>
  <c r="I299" i="4"/>
  <c r="A299" i="4"/>
  <c r="A275" i="4"/>
  <c r="B275" i="4"/>
  <c r="D275" i="4"/>
  <c r="E275" i="4"/>
  <c r="F275" i="4"/>
  <c r="G275" i="4"/>
  <c r="H275" i="4"/>
  <c r="I275" i="4"/>
  <c r="A276" i="4"/>
  <c r="B276" i="4"/>
  <c r="D276" i="4"/>
  <c r="E276" i="4"/>
  <c r="F276" i="4"/>
  <c r="G276" i="4"/>
  <c r="H276" i="4"/>
  <c r="I276" i="4"/>
  <c r="A277" i="4"/>
  <c r="B277" i="4"/>
  <c r="D277" i="4"/>
  <c r="E277" i="4"/>
  <c r="F277" i="4"/>
  <c r="G277" i="4"/>
  <c r="H277" i="4"/>
  <c r="I277" i="4"/>
  <c r="A278" i="4"/>
  <c r="B278" i="4"/>
  <c r="D278" i="4"/>
  <c r="E278" i="4"/>
  <c r="F278" i="4"/>
  <c r="G278" i="4"/>
  <c r="H278" i="4"/>
  <c r="I278" i="4"/>
  <c r="A279" i="4"/>
  <c r="B279" i="4"/>
  <c r="D279" i="4"/>
  <c r="E279" i="4"/>
  <c r="F279" i="4"/>
  <c r="G279" i="4"/>
  <c r="H279" i="4"/>
  <c r="I279" i="4"/>
  <c r="A280" i="4"/>
  <c r="B280" i="4"/>
  <c r="D280" i="4"/>
  <c r="E280" i="4"/>
  <c r="F280" i="4"/>
  <c r="G280" i="4"/>
  <c r="H280" i="4"/>
  <c r="I280" i="4"/>
  <c r="A281" i="4"/>
  <c r="B281" i="4"/>
  <c r="D281" i="4"/>
  <c r="E281" i="4"/>
  <c r="F281" i="4"/>
  <c r="G281" i="4"/>
  <c r="H281" i="4"/>
  <c r="I281" i="4"/>
  <c r="A282" i="4"/>
  <c r="B282" i="4"/>
  <c r="D282" i="4"/>
  <c r="E282" i="4"/>
  <c r="F282" i="4"/>
  <c r="G282" i="4"/>
  <c r="H282" i="4"/>
  <c r="I282" i="4"/>
  <c r="A283" i="4"/>
  <c r="B283" i="4"/>
  <c r="D283" i="4"/>
  <c r="E283" i="4"/>
  <c r="F283" i="4"/>
  <c r="G283" i="4"/>
  <c r="H283" i="4"/>
  <c r="I283" i="4"/>
  <c r="A284" i="4"/>
  <c r="B284" i="4"/>
  <c r="D284" i="4"/>
  <c r="E284" i="4"/>
  <c r="F284" i="4"/>
  <c r="G284" i="4"/>
  <c r="H284" i="4"/>
  <c r="I284" i="4"/>
  <c r="A285" i="4"/>
  <c r="B285" i="4"/>
  <c r="D285" i="4"/>
  <c r="E285" i="4"/>
  <c r="F285" i="4"/>
  <c r="G285" i="4"/>
  <c r="H285" i="4"/>
  <c r="I285" i="4"/>
  <c r="A286" i="4"/>
  <c r="B286" i="4"/>
  <c r="D286" i="4"/>
  <c r="E286" i="4"/>
  <c r="F286" i="4"/>
  <c r="G286" i="4"/>
  <c r="H286" i="4"/>
  <c r="I286" i="4"/>
  <c r="A287" i="4"/>
  <c r="B287" i="4"/>
  <c r="D287" i="4"/>
  <c r="E287" i="4"/>
  <c r="F287" i="4"/>
  <c r="G287" i="4"/>
  <c r="H287" i="4"/>
  <c r="I287" i="4"/>
  <c r="A288" i="4"/>
  <c r="B288" i="4"/>
  <c r="D288" i="4"/>
  <c r="E288" i="4"/>
  <c r="F288" i="4"/>
  <c r="G288" i="4"/>
  <c r="H288" i="4"/>
  <c r="I288" i="4"/>
  <c r="A289" i="4"/>
  <c r="B289" i="4"/>
  <c r="D289" i="4"/>
  <c r="E289" i="4"/>
  <c r="F289" i="4"/>
  <c r="G289" i="4"/>
  <c r="H289" i="4"/>
  <c r="I289" i="4"/>
  <c r="A290" i="4"/>
  <c r="B290" i="4"/>
  <c r="D290" i="4"/>
  <c r="E290" i="4"/>
  <c r="F290" i="4"/>
  <c r="G290" i="4"/>
  <c r="H290" i="4"/>
  <c r="I290" i="4"/>
  <c r="A291" i="4"/>
  <c r="B291" i="4"/>
  <c r="D291" i="4"/>
  <c r="E291" i="4"/>
  <c r="F291" i="4"/>
  <c r="G291" i="4"/>
  <c r="H291" i="4"/>
  <c r="I291" i="4"/>
  <c r="A292" i="4"/>
  <c r="B292" i="4"/>
  <c r="D292" i="4"/>
  <c r="E292" i="4"/>
  <c r="F292" i="4"/>
  <c r="G292" i="4"/>
  <c r="H292" i="4"/>
  <c r="I292" i="4"/>
  <c r="A293" i="4"/>
  <c r="B293" i="4"/>
  <c r="D293" i="4"/>
  <c r="E293" i="4"/>
  <c r="F293" i="4"/>
  <c r="G293" i="4"/>
  <c r="H293" i="4"/>
  <c r="I293" i="4"/>
  <c r="A294" i="4"/>
  <c r="B294" i="4"/>
  <c r="D294" i="4"/>
  <c r="E294" i="4"/>
  <c r="F294" i="4"/>
  <c r="G294" i="4"/>
  <c r="H294" i="4"/>
  <c r="I294" i="4"/>
  <c r="A295" i="4"/>
  <c r="B295" i="4"/>
  <c r="D295" i="4"/>
  <c r="E295" i="4"/>
  <c r="F295" i="4"/>
  <c r="G295" i="4"/>
  <c r="H295" i="4"/>
  <c r="I295" i="4"/>
  <c r="A296" i="4"/>
  <c r="B296" i="4"/>
  <c r="D296" i="4"/>
  <c r="E296" i="4"/>
  <c r="F296" i="4"/>
  <c r="G296" i="4"/>
  <c r="H296" i="4"/>
  <c r="I296" i="4"/>
  <c r="A297" i="4"/>
  <c r="B297" i="4"/>
  <c r="D297" i="4"/>
  <c r="E297" i="4"/>
  <c r="F297" i="4"/>
  <c r="G297" i="4"/>
  <c r="H297" i="4"/>
  <c r="I297" i="4"/>
  <c r="B274" i="4"/>
  <c r="D274" i="4"/>
  <c r="E274" i="4"/>
  <c r="F274" i="4"/>
  <c r="G274" i="4"/>
  <c r="H274" i="4"/>
  <c r="I274" i="4"/>
  <c r="A274" i="4"/>
  <c r="A250" i="4"/>
  <c r="B250" i="4"/>
  <c r="D250" i="4"/>
  <c r="E250" i="4"/>
  <c r="F250" i="4"/>
  <c r="G250" i="4"/>
  <c r="H250" i="4"/>
  <c r="I250" i="4"/>
  <c r="A251" i="4"/>
  <c r="B251" i="4"/>
  <c r="D251" i="4"/>
  <c r="E251" i="4"/>
  <c r="F251" i="4"/>
  <c r="G251" i="4"/>
  <c r="H251" i="4"/>
  <c r="I251" i="4"/>
  <c r="A252" i="4"/>
  <c r="B252" i="4"/>
  <c r="D252" i="4"/>
  <c r="E252" i="4"/>
  <c r="F252" i="4"/>
  <c r="G252" i="4"/>
  <c r="H252" i="4"/>
  <c r="I252" i="4"/>
  <c r="A253" i="4"/>
  <c r="B253" i="4"/>
  <c r="D253" i="4"/>
  <c r="E253" i="4"/>
  <c r="F253" i="4"/>
  <c r="G253" i="4"/>
  <c r="H253" i="4"/>
  <c r="I253" i="4"/>
  <c r="A254" i="4"/>
  <c r="B254" i="4"/>
  <c r="D254" i="4"/>
  <c r="E254" i="4"/>
  <c r="F254" i="4"/>
  <c r="G254" i="4"/>
  <c r="H254" i="4"/>
  <c r="I254" i="4"/>
  <c r="A255" i="4"/>
  <c r="B255" i="4"/>
  <c r="D255" i="4"/>
  <c r="E255" i="4"/>
  <c r="F255" i="4"/>
  <c r="G255" i="4"/>
  <c r="H255" i="4"/>
  <c r="I255" i="4"/>
  <c r="A256" i="4"/>
  <c r="B256" i="4"/>
  <c r="D256" i="4"/>
  <c r="E256" i="4"/>
  <c r="F256" i="4"/>
  <c r="G256" i="4"/>
  <c r="H256" i="4"/>
  <c r="I256" i="4"/>
  <c r="A257" i="4"/>
  <c r="B257" i="4"/>
  <c r="D257" i="4"/>
  <c r="E257" i="4"/>
  <c r="F257" i="4"/>
  <c r="G257" i="4"/>
  <c r="H257" i="4"/>
  <c r="I257" i="4"/>
  <c r="A258" i="4"/>
  <c r="B258" i="4"/>
  <c r="D258" i="4"/>
  <c r="E258" i="4"/>
  <c r="F258" i="4"/>
  <c r="G258" i="4"/>
  <c r="H258" i="4"/>
  <c r="I258" i="4"/>
  <c r="A259" i="4"/>
  <c r="B259" i="4"/>
  <c r="D259" i="4"/>
  <c r="E259" i="4"/>
  <c r="F259" i="4"/>
  <c r="G259" i="4"/>
  <c r="H259" i="4"/>
  <c r="I259" i="4"/>
  <c r="A260" i="4"/>
  <c r="B260" i="4"/>
  <c r="D260" i="4"/>
  <c r="E260" i="4"/>
  <c r="F260" i="4"/>
  <c r="G260" i="4"/>
  <c r="H260" i="4"/>
  <c r="I260" i="4"/>
  <c r="A261" i="4"/>
  <c r="B261" i="4"/>
  <c r="D261" i="4"/>
  <c r="E261" i="4"/>
  <c r="F261" i="4"/>
  <c r="G261" i="4"/>
  <c r="H261" i="4"/>
  <c r="I261" i="4"/>
  <c r="A262" i="4"/>
  <c r="B262" i="4"/>
  <c r="D262" i="4"/>
  <c r="E262" i="4"/>
  <c r="F262" i="4"/>
  <c r="G262" i="4"/>
  <c r="H262" i="4"/>
  <c r="I262" i="4"/>
  <c r="A263" i="4"/>
  <c r="B263" i="4"/>
  <c r="D263" i="4"/>
  <c r="E263" i="4"/>
  <c r="F263" i="4"/>
  <c r="G263" i="4"/>
  <c r="H263" i="4"/>
  <c r="I263" i="4"/>
  <c r="A264" i="4"/>
  <c r="B264" i="4"/>
  <c r="D264" i="4"/>
  <c r="E264" i="4"/>
  <c r="F264" i="4"/>
  <c r="G264" i="4"/>
  <c r="H264" i="4"/>
  <c r="I264" i="4"/>
  <c r="A265" i="4"/>
  <c r="B265" i="4"/>
  <c r="D265" i="4"/>
  <c r="E265" i="4"/>
  <c r="F265" i="4"/>
  <c r="G265" i="4"/>
  <c r="H265" i="4"/>
  <c r="I265" i="4"/>
  <c r="A266" i="4"/>
  <c r="B266" i="4"/>
  <c r="D266" i="4"/>
  <c r="E266" i="4"/>
  <c r="F266" i="4"/>
  <c r="G266" i="4"/>
  <c r="H266" i="4"/>
  <c r="I266" i="4"/>
  <c r="A267" i="4"/>
  <c r="B267" i="4"/>
  <c r="D267" i="4"/>
  <c r="E267" i="4"/>
  <c r="F267" i="4"/>
  <c r="G267" i="4"/>
  <c r="H267" i="4"/>
  <c r="I267" i="4"/>
  <c r="A268" i="4"/>
  <c r="B268" i="4"/>
  <c r="D268" i="4"/>
  <c r="E268" i="4"/>
  <c r="F268" i="4"/>
  <c r="G268" i="4"/>
  <c r="H268" i="4"/>
  <c r="I268" i="4"/>
  <c r="A269" i="4"/>
  <c r="B269" i="4"/>
  <c r="D269" i="4"/>
  <c r="E269" i="4"/>
  <c r="F269" i="4"/>
  <c r="G269" i="4"/>
  <c r="H269" i="4"/>
  <c r="I269" i="4"/>
  <c r="A270" i="4"/>
  <c r="B270" i="4"/>
  <c r="D270" i="4"/>
  <c r="E270" i="4"/>
  <c r="F270" i="4"/>
  <c r="G270" i="4"/>
  <c r="H270" i="4"/>
  <c r="I270" i="4"/>
  <c r="A271" i="4"/>
  <c r="B271" i="4"/>
  <c r="D271" i="4"/>
  <c r="E271" i="4"/>
  <c r="F271" i="4"/>
  <c r="G271" i="4"/>
  <c r="H271" i="4"/>
  <c r="I271" i="4"/>
  <c r="A272" i="4"/>
  <c r="B272" i="4"/>
  <c r="D272" i="4"/>
  <c r="E272" i="4"/>
  <c r="F272" i="4"/>
  <c r="G272" i="4"/>
  <c r="H272" i="4"/>
  <c r="I272" i="4"/>
  <c r="B249" i="4"/>
  <c r="D249" i="4"/>
  <c r="E249" i="4"/>
  <c r="F249" i="4"/>
  <c r="G249" i="4"/>
  <c r="H249" i="4"/>
  <c r="I249" i="4"/>
  <c r="A249" i="4"/>
  <c r="A228" i="4"/>
  <c r="B228" i="4"/>
  <c r="D228" i="4"/>
  <c r="E228" i="4"/>
  <c r="F228" i="4"/>
  <c r="G228" i="4"/>
  <c r="H228" i="4"/>
  <c r="I228" i="4"/>
  <c r="A229" i="4"/>
  <c r="B229" i="4"/>
  <c r="D229" i="4"/>
  <c r="E229" i="4"/>
  <c r="F229" i="4"/>
  <c r="G229" i="4"/>
  <c r="H229" i="4"/>
  <c r="I229" i="4"/>
  <c r="A230" i="4"/>
  <c r="B230" i="4"/>
  <c r="D230" i="4"/>
  <c r="E230" i="4"/>
  <c r="F230" i="4"/>
  <c r="G230" i="4"/>
  <c r="H230" i="4"/>
  <c r="I230" i="4"/>
  <c r="A231" i="4"/>
  <c r="B231" i="4"/>
  <c r="D231" i="4"/>
  <c r="E231" i="4"/>
  <c r="F231" i="4"/>
  <c r="G231" i="4"/>
  <c r="H231" i="4"/>
  <c r="I231" i="4"/>
  <c r="A232" i="4"/>
  <c r="B232" i="4"/>
  <c r="D232" i="4"/>
  <c r="E232" i="4"/>
  <c r="F232" i="4"/>
  <c r="G232" i="4"/>
  <c r="H232" i="4"/>
  <c r="I232" i="4"/>
  <c r="A233" i="4"/>
  <c r="B233" i="4"/>
  <c r="D233" i="4"/>
  <c r="E233" i="4"/>
  <c r="F233" i="4"/>
  <c r="G233" i="4"/>
  <c r="H233" i="4"/>
  <c r="I233" i="4"/>
  <c r="A234" i="4"/>
  <c r="B234" i="4"/>
  <c r="D234" i="4"/>
  <c r="E234" i="4"/>
  <c r="F234" i="4"/>
  <c r="G234" i="4"/>
  <c r="H234" i="4"/>
  <c r="I234" i="4"/>
  <c r="A235" i="4"/>
  <c r="B235" i="4"/>
  <c r="D235" i="4"/>
  <c r="E235" i="4"/>
  <c r="F235" i="4"/>
  <c r="G235" i="4"/>
  <c r="H235" i="4"/>
  <c r="I235" i="4"/>
  <c r="A236" i="4"/>
  <c r="B236" i="4"/>
  <c r="D236" i="4"/>
  <c r="E236" i="4"/>
  <c r="F236" i="4"/>
  <c r="G236" i="4"/>
  <c r="H236" i="4"/>
  <c r="I236" i="4"/>
  <c r="A237" i="4"/>
  <c r="B237" i="4"/>
  <c r="D237" i="4"/>
  <c r="E237" i="4"/>
  <c r="F237" i="4"/>
  <c r="G237" i="4"/>
  <c r="H237" i="4"/>
  <c r="I237" i="4"/>
  <c r="A238" i="4"/>
  <c r="B238" i="4"/>
  <c r="D238" i="4"/>
  <c r="E238" i="4"/>
  <c r="F238" i="4"/>
  <c r="G238" i="4"/>
  <c r="H238" i="4"/>
  <c r="I238" i="4"/>
  <c r="A239" i="4"/>
  <c r="B239" i="4"/>
  <c r="D239" i="4"/>
  <c r="E239" i="4"/>
  <c r="F239" i="4"/>
  <c r="G239" i="4"/>
  <c r="H239" i="4"/>
  <c r="I239" i="4"/>
  <c r="A240" i="4"/>
  <c r="B240" i="4"/>
  <c r="D240" i="4"/>
  <c r="E240" i="4"/>
  <c r="F240" i="4"/>
  <c r="G240" i="4"/>
  <c r="H240" i="4"/>
  <c r="I240" i="4"/>
  <c r="A241" i="4"/>
  <c r="B241" i="4"/>
  <c r="D241" i="4"/>
  <c r="E241" i="4"/>
  <c r="F241" i="4"/>
  <c r="G241" i="4"/>
  <c r="H241" i="4"/>
  <c r="I241" i="4"/>
  <c r="A242" i="4"/>
  <c r="B242" i="4"/>
  <c r="D242" i="4"/>
  <c r="E242" i="4"/>
  <c r="F242" i="4"/>
  <c r="G242" i="4"/>
  <c r="H242" i="4"/>
  <c r="I242" i="4"/>
  <c r="A243" i="4"/>
  <c r="B243" i="4"/>
  <c r="D243" i="4"/>
  <c r="E243" i="4"/>
  <c r="F243" i="4"/>
  <c r="G243" i="4"/>
  <c r="H243" i="4"/>
  <c r="I243" i="4"/>
  <c r="A244" i="4"/>
  <c r="B244" i="4"/>
  <c r="D244" i="4"/>
  <c r="E244" i="4"/>
  <c r="F244" i="4"/>
  <c r="G244" i="4"/>
  <c r="H244" i="4"/>
  <c r="I244" i="4"/>
  <c r="A245" i="4"/>
  <c r="B245" i="4"/>
  <c r="D245" i="4"/>
  <c r="E245" i="4"/>
  <c r="F245" i="4"/>
  <c r="G245" i="4"/>
  <c r="H245" i="4"/>
  <c r="I245" i="4"/>
  <c r="A246" i="4"/>
  <c r="B246" i="4"/>
  <c r="D246" i="4"/>
  <c r="E246" i="4"/>
  <c r="F246" i="4"/>
  <c r="G246" i="4"/>
  <c r="H246" i="4"/>
  <c r="I246" i="4"/>
  <c r="A247" i="4"/>
  <c r="B247" i="4"/>
  <c r="D247" i="4"/>
  <c r="E247" i="4"/>
  <c r="F247" i="4"/>
  <c r="G247" i="4"/>
  <c r="H247" i="4"/>
  <c r="I247" i="4"/>
  <c r="B227" i="4"/>
  <c r="D227" i="4"/>
  <c r="E227" i="4"/>
  <c r="F227" i="4"/>
  <c r="G227" i="4"/>
  <c r="H227" i="4"/>
  <c r="I227" i="4"/>
  <c r="A227" i="4"/>
  <c r="A206" i="4"/>
  <c r="B206" i="4"/>
  <c r="D206" i="4"/>
  <c r="E206" i="4"/>
  <c r="F206" i="4"/>
  <c r="G206" i="4"/>
  <c r="H206" i="4"/>
  <c r="I206" i="4"/>
  <c r="A207" i="4"/>
  <c r="B207" i="4"/>
  <c r="D207" i="4"/>
  <c r="E207" i="4"/>
  <c r="F207" i="4"/>
  <c r="G207" i="4"/>
  <c r="H207" i="4"/>
  <c r="I207" i="4"/>
  <c r="A208" i="4"/>
  <c r="B208" i="4"/>
  <c r="D208" i="4"/>
  <c r="E208" i="4"/>
  <c r="F208" i="4"/>
  <c r="G208" i="4"/>
  <c r="H208" i="4"/>
  <c r="I208" i="4"/>
  <c r="A209" i="4"/>
  <c r="B209" i="4"/>
  <c r="D209" i="4"/>
  <c r="E209" i="4"/>
  <c r="F209" i="4"/>
  <c r="G209" i="4"/>
  <c r="H209" i="4"/>
  <c r="I209" i="4"/>
  <c r="A210" i="4"/>
  <c r="B210" i="4"/>
  <c r="D210" i="4"/>
  <c r="E210" i="4"/>
  <c r="F210" i="4"/>
  <c r="G210" i="4"/>
  <c r="H210" i="4"/>
  <c r="I210" i="4"/>
  <c r="A211" i="4"/>
  <c r="B211" i="4"/>
  <c r="D211" i="4"/>
  <c r="E211" i="4"/>
  <c r="F211" i="4"/>
  <c r="G211" i="4"/>
  <c r="H211" i="4"/>
  <c r="I211" i="4"/>
  <c r="A212" i="4"/>
  <c r="B212" i="4"/>
  <c r="D212" i="4"/>
  <c r="E212" i="4"/>
  <c r="F212" i="4"/>
  <c r="G212" i="4"/>
  <c r="H212" i="4"/>
  <c r="I212" i="4"/>
  <c r="A213" i="4"/>
  <c r="B213" i="4"/>
  <c r="D213" i="4"/>
  <c r="E213" i="4"/>
  <c r="F213" i="4"/>
  <c r="G213" i="4"/>
  <c r="H213" i="4"/>
  <c r="I213" i="4"/>
  <c r="A214" i="4"/>
  <c r="B214" i="4"/>
  <c r="D214" i="4"/>
  <c r="E214" i="4"/>
  <c r="F214" i="4"/>
  <c r="G214" i="4"/>
  <c r="H214" i="4"/>
  <c r="I214" i="4"/>
  <c r="A215" i="4"/>
  <c r="B215" i="4"/>
  <c r="D215" i="4"/>
  <c r="E215" i="4"/>
  <c r="F215" i="4"/>
  <c r="G215" i="4"/>
  <c r="H215" i="4"/>
  <c r="I215" i="4"/>
  <c r="A216" i="4"/>
  <c r="B216" i="4"/>
  <c r="D216" i="4"/>
  <c r="E216" i="4"/>
  <c r="F216" i="4"/>
  <c r="G216" i="4"/>
  <c r="H216" i="4"/>
  <c r="I216" i="4"/>
  <c r="A217" i="4"/>
  <c r="B217" i="4"/>
  <c r="D217" i="4"/>
  <c r="E217" i="4"/>
  <c r="F217" i="4"/>
  <c r="G217" i="4"/>
  <c r="H217" i="4"/>
  <c r="I217" i="4"/>
  <c r="A218" i="4"/>
  <c r="B218" i="4"/>
  <c r="D218" i="4"/>
  <c r="E218" i="4"/>
  <c r="F218" i="4"/>
  <c r="G218" i="4"/>
  <c r="H218" i="4"/>
  <c r="I218" i="4"/>
  <c r="A219" i="4"/>
  <c r="B219" i="4"/>
  <c r="D219" i="4"/>
  <c r="E219" i="4"/>
  <c r="F219" i="4"/>
  <c r="G219" i="4"/>
  <c r="H219" i="4"/>
  <c r="I219" i="4"/>
  <c r="A220" i="4"/>
  <c r="B220" i="4"/>
  <c r="D220" i="4"/>
  <c r="E220" i="4"/>
  <c r="F220" i="4"/>
  <c r="G220" i="4"/>
  <c r="H220" i="4"/>
  <c r="I220" i="4"/>
  <c r="A221" i="4"/>
  <c r="B221" i="4"/>
  <c r="D221" i="4"/>
  <c r="E221" i="4"/>
  <c r="F221" i="4"/>
  <c r="G221" i="4"/>
  <c r="H221" i="4"/>
  <c r="I221" i="4"/>
  <c r="A222" i="4"/>
  <c r="B222" i="4"/>
  <c r="D222" i="4"/>
  <c r="E222" i="4"/>
  <c r="F222" i="4"/>
  <c r="G222" i="4"/>
  <c r="H222" i="4"/>
  <c r="I222" i="4"/>
  <c r="A223" i="4"/>
  <c r="B223" i="4"/>
  <c r="D223" i="4"/>
  <c r="E223" i="4"/>
  <c r="F223" i="4"/>
  <c r="G223" i="4"/>
  <c r="H223" i="4"/>
  <c r="I223" i="4"/>
  <c r="A224" i="4"/>
  <c r="B224" i="4"/>
  <c r="D224" i="4"/>
  <c r="E224" i="4"/>
  <c r="F224" i="4"/>
  <c r="G224" i="4"/>
  <c r="H224" i="4"/>
  <c r="I224" i="4"/>
  <c r="A225" i="4"/>
  <c r="B225" i="4"/>
  <c r="D225" i="4"/>
  <c r="E225" i="4"/>
  <c r="F225" i="4"/>
  <c r="G225" i="4"/>
  <c r="H225" i="4"/>
  <c r="I225" i="4"/>
  <c r="B205" i="4"/>
  <c r="D205" i="4"/>
  <c r="E205" i="4"/>
  <c r="F205" i="4"/>
  <c r="G205" i="4"/>
  <c r="H205" i="4"/>
  <c r="I205" i="4"/>
  <c r="A205" i="4"/>
  <c r="A181" i="4"/>
  <c r="B181" i="4"/>
  <c r="D181" i="4"/>
  <c r="E181" i="4"/>
  <c r="F181" i="4"/>
  <c r="G181" i="4"/>
  <c r="H181" i="4"/>
  <c r="I181" i="4"/>
  <c r="A182" i="4"/>
  <c r="B182" i="4"/>
  <c r="D182" i="4"/>
  <c r="E182" i="4"/>
  <c r="F182" i="4"/>
  <c r="G182" i="4"/>
  <c r="H182" i="4"/>
  <c r="I182" i="4"/>
  <c r="A183" i="4"/>
  <c r="B183" i="4"/>
  <c r="D183" i="4"/>
  <c r="E183" i="4"/>
  <c r="F183" i="4"/>
  <c r="G183" i="4"/>
  <c r="H183" i="4"/>
  <c r="I183" i="4"/>
  <c r="A184" i="4"/>
  <c r="B184" i="4"/>
  <c r="D184" i="4"/>
  <c r="E184" i="4"/>
  <c r="F184" i="4"/>
  <c r="G184" i="4"/>
  <c r="H184" i="4"/>
  <c r="I184" i="4"/>
  <c r="A185" i="4"/>
  <c r="B185" i="4"/>
  <c r="D185" i="4"/>
  <c r="E185" i="4"/>
  <c r="F185" i="4"/>
  <c r="G185" i="4"/>
  <c r="H185" i="4"/>
  <c r="I185" i="4"/>
  <c r="A186" i="4"/>
  <c r="B186" i="4"/>
  <c r="D186" i="4"/>
  <c r="E186" i="4"/>
  <c r="F186" i="4"/>
  <c r="G186" i="4"/>
  <c r="H186" i="4"/>
  <c r="I186" i="4"/>
  <c r="A187" i="4"/>
  <c r="B187" i="4"/>
  <c r="D187" i="4"/>
  <c r="E187" i="4"/>
  <c r="F187" i="4"/>
  <c r="G187" i="4"/>
  <c r="H187" i="4"/>
  <c r="I187" i="4"/>
  <c r="A188" i="4"/>
  <c r="B188" i="4"/>
  <c r="D188" i="4"/>
  <c r="E188" i="4"/>
  <c r="F188" i="4"/>
  <c r="G188" i="4"/>
  <c r="H188" i="4"/>
  <c r="I188" i="4"/>
  <c r="A189" i="4"/>
  <c r="B189" i="4"/>
  <c r="D189" i="4"/>
  <c r="E189" i="4"/>
  <c r="F189" i="4"/>
  <c r="G189" i="4"/>
  <c r="H189" i="4"/>
  <c r="I189" i="4"/>
  <c r="A190" i="4"/>
  <c r="B190" i="4"/>
  <c r="D190" i="4"/>
  <c r="E190" i="4"/>
  <c r="F190" i="4"/>
  <c r="G190" i="4"/>
  <c r="H190" i="4"/>
  <c r="I190" i="4"/>
  <c r="A191" i="4"/>
  <c r="B191" i="4"/>
  <c r="D191" i="4"/>
  <c r="E191" i="4"/>
  <c r="F191" i="4"/>
  <c r="G191" i="4"/>
  <c r="H191" i="4"/>
  <c r="I191" i="4"/>
  <c r="A192" i="4"/>
  <c r="B192" i="4"/>
  <c r="D192" i="4"/>
  <c r="E192" i="4"/>
  <c r="F192" i="4"/>
  <c r="G192" i="4"/>
  <c r="H192" i="4"/>
  <c r="I192" i="4"/>
  <c r="A193" i="4"/>
  <c r="B193" i="4"/>
  <c r="D193" i="4"/>
  <c r="E193" i="4"/>
  <c r="F193" i="4"/>
  <c r="G193" i="4"/>
  <c r="H193" i="4"/>
  <c r="I193" i="4"/>
  <c r="A194" i="4"/>
  <c r="B194" i="4"/>
  <c r="D194" i="4"/>
  <c r="E194" i="4"/>
  <c r="F194" i="4"/>
  <c r="G194" i="4"/>
  <c r="H194" i="4"/>
  <c r="I194" i="4"/>
  <c r="A195" i="4"/>
  <c r="B195" i="4"/>
  <c r="D195" i="4"/>
  <c r="E195" i="4"/>
  <c r="F195" i="4"/>
  <c r="G195" i="4"/>
  <c r="H195" i="4"/>
  <c r="I195" i="4"/>
  <c r="A196" i="4"/>
  <c r="B196" i="4"/>
  <c r="D196" i="4"/>
  <c r="E196" i="4"/>
  <c r="F196" i="4"/>
  <c r="G196" i="4"/>
  <c r="H196" i="4"/>
  <c r="I196" i="4"/>
  <c r="A197" i="4"/>
  <c r="B197" i="4"/>
  <c r="D197" i="4"/>
  <c r="E197" i="4"/>
  <c r="F197" i="4"/>
  <c r="G197" i="4"/>
  <c r="H197" i="4"/>
  <c r="I197" i="4"/>
  <c r="A198" i="4"/>
  <c r="B198" i="4"/>
  <c r="D198" i="4"/>
  <c r="E198" i="4"/>
  <c r="F198" i="4"/>
  <c r="G198" i="4"/>
  <c r="H198" i="4"/>
  <c r="I198" i="4"/>
  <c r="A199" i="4"/>
  <c r="B199" i="4"/>
  <c r="D199" i="4"/>
  <c r="E199" i="4"/>
  <c r="F199" i="4"/>
  <c r="G199" i="4"/>
  <c r="H199" i="4"/>
  <c r="I199" i="4"/>
  <c r="A200" i="4"/>
  <c r="B200" i="4"/>
  <c r="D200" i="4"/>
  <c r="E200" i="4"/>
  <c r="F200" i="4"/>
  <c r="G200" i="4"/>
  <c r="H200" i="4"/>
  <c r="I200" i="4"/>
  <c r="A201" i="4"/>
  <c r="B201" i="4"/>
  <c r="D201" i="4"/>
  <c r="E201" i="4"/>
  <c r="F201" i="4"/>
  <c r="G201" i="4"/>
  <c r="H201" i="4"/>
  <c r="I201" i="4"/>
  <c r="A202" i="4"/>
  <c r="B202" i="4"/>
  <c r="D202" i="4"/>
  <c r="E202" i="4"/>
  <c r="F202" i="4"/>
  <c r="G202" i="4"/>
  <c r="H202" i="4"/>
  <c r="I202" i="4"/>
  <c r="A203" i="4"/>
  <c r="B203" i="4"/>
  <c r="D203" i="4"/>
  <c r="E203" i="4"/>
  <c r="F203" i="4"/>
  <c r="G203" i="4"/>
  <c r="H203" i="4"/>
  <c r="I203" i="4"/>
  <c r="B180" i="4"/>
  <c r="D180" i="4"/>
  <c r="E180" i="4"/>
  <c r="F180" i="4"/>
  <c r="G180" i="4"/>
  <c r="H180" i="4"/>
  <c r="I180" i="4"/>
  <c r="A180" i="4"/>
  <c r="A156" i="4"/>
  <c r="B156" i="4"/>
  <c r="D156" i="4"/>
  <c r="E156" i="4"/>
  <c r="F156" i="4"/>
  <c r="G156" i="4"/>
  <c r="H156" i="4"/>
  <c r="I156" i="4"/>
  <c r="A157" i="4"/>
  <c r="B157" i="4"/>
  <c r="D157" i="4"/>
  <c r="E157" i="4"/>
  <c r="F157" i="4"/>
  <c r="G157" i="4"/>
  <c r="H157" i="4"/>
  <c r="I157" i="4"/>
  <c r="A158" i="4"/>
  <c r="B158" i="4"/>
  <c r="D158" i="4"/>
  <c r="E158" i="4"/>
  <c r="F158" i="4"/>
  <c r="G158" i="4"/>
  <c r="H158" i="4"/>
  <c r="I158" i="4"/>
  <c r="A159" i="4"/>
  <c r="B159" i="4"/>
  <c r="D159" i="4"/>
  <c r="E159" i="4"/>
  <c r="F159" i="4"/>
  <c r="G159" i="4"/>
  <c r="H159" i="4"/>
  <c r="I159" i="4"/>
  <c r="A160" i="4"/>
  <c r="B160" i="4"/>
  <c r="D160" i="4"/>
  <c r="E160" i="4"/>
  <c r="F160" i="4"/>
  <c r="G160" i="4"/>
  <c r="H160" i="4"/>
  <c r="I160" i="4"/>
  <c r="A161" i="4"/>
  <c r="B161" i="4"/>
  <c r="D161" i="4"/>
  <c r="E161" i="4"/>
  <c r="F161" i="4"/>
  <c r="G161" i="4"/>
  <c r="H161" i="4"/>
  <c r="I161" i="4"/>
  <c r="A162" i="4"/>
  <c r="B162" i="4"/>
  <c r="D162" i="4"/>
  <c r="E162" i="4"/>
  <c r="F162" i="4"/>
  <c r="G162" i="4"/>
  <c r="H162" i="4"/>
  <c r="I162" i="4"/>
  <c r="A163" i="4"/>
  <c r="B163" i="4"/>
  <c r="D163" i="4"/>
  <c r="E163" i="4"/>
  <c r="F163" i="4"/>
  <c r="G163" i="4"/>
  <c r="H163" i="4"/>
  <c r="I163" i="4"/>
  <c r="A164" i="4"/>
  <c r="B164" i="4"/>
  <c r="D164" i="4"/>
  <c r="E164" i="4"/>
  <c r="F164" i="4"/>
  <c r="G164" i="4"/>
  <c r="H164" i="4"/>
  <c r="I164" i="4"/>
  <c r="A165" i="4"/>
  <c r="B165" i="4"/>
  <c r="D165" i="4"/>
  <c r="E165" i="4"/>
  <c r="F165" i="4"/>
  <c r="G165" i="4"/>
  <c r="H165" i="4"/>
  <c r="I165" i="4"/>
  <c r="A166" i="4"/>
  <c r="B166" i="4"/>
  <c r="D166" i="4"/>
  <c r="E166" i="4"/>
  <c r="F166" i="4"/>
  <c r="G166" i="4"/>
  <c r="H166" i="4"/>
  <c r="I166" i="4"/>
  <c r="A167" i="4"/>
  <c r="B167" i="4"/>
  <c r="D167" i="4"/>
  <c r="E167" i="4"/>
  <c r="F167" i="4"/>
  <c r="G167" i="4"/>
  <c r="H167" i="4"/>
  <c r="I167" i="4"/>
  <c r="A168" i="4"/>
  <c r="B168" i="4"/>
  <c r="D168" i="4"/>
  <c r="E168" i="4"/>
  <c r="F168" i="4"/>
  <c r="G168" i="4"/>
  <c r="H168" i="4"/>
  <c r="I168" i="4"/>
  <c r="A169" i="4"/>
  <c r="B169" i="4"/>
  <c r="D169" i="4"/>
  <c r="E169" i="4"/>
  <c r="F169" i="4"/>
  <c r="G169" i="4"/>
  <c r="H169" i="4"/>
  <c r="I169" i="4"/>
  <c r="A170" i="4"/>
  <c r="B170" i="4"/>
  <c r="D170" i="4"/>
  <c r="E170" i="4"/>
  <c r="F170" i="4"/>
  <c r="G170" i="4"/>
  <c r="H170" i="4"/>
  <c r="I170" i="4"/>
  <c r="A171" i="4"/>
  <c r="B171" i="4"/>
  <c r="D171" i="4"/>
  <c r="E171" i="4"/>
  <c r="F171" i="4"/>
  <c r="G171" i="4"/>
  <c r="H171" i="4"/>
  <c r="I171" i="4"/>
  <c r="A172" i="4"/>
  <c r="B172" i="4"/>
  <c r="D172" i="4"/>
  <c r="E172" i="4"/>
  <c r="F172" i="4"/>
  <c r="G172" i="4"/>
  <c r="H172" i="4"/>
  <c r="I172" i="4"/>
  <c r="A173" i="4"/>
  <c r="B173" i="4"/>
  <c r="D173" i="4"/>
  <c r="E173" i="4"/>
  <c r="F173" i="4"/>
  <c r="G173" i="4"/>
  <c r="H173" i="4"/>
  <c r="I173" i="4"/>
  <c r="A174" i="4"/>
  <c r="B174" i="4"/>
  <c r="D174" i="4"/>
  <c r="E174" i="4"/>
  <c r="F174" i="4"/>
  <c r="G174" i="4"/>
  <c r="H174" i="4"/>
  <c r="I174" i="4"/>
  <c r="A175" i="4"/>
  <c r="B175" i="4"/>
  <c r="D175" i="4"/>
  <c r="E175" i="4"/>
  <c r="F175" i="4"/>
  <c r="G175" i="4"/>
  <c r="H175" i="4"/>
  <c r="I175" i="4"/>
  <c r="A176" i="4"/>
  <c r="B176" i="4"/>
  <c r="D176" i="4"/>
  <c r="E176" i="4"/>
  <c r="F176" i="4"/>
  <c r="G176" i="4"/>
  <c r="H176" i="4"/>
  <c r="I176" i="4"/>
  <c r="A177" i="4"/>
  <c r="B177" i="4"/>
  <c r="D177" i="4"/>
  <c r="E177" i="4"/>
  <c r="F177" i="4"/>
  <c r="G177" i="4"/>
  <c r="H177" i="4"/>
  <c r="I177" i="4"/>
  <c r="A178" i="4"/>
  <c r="B178" i="4"/>
  <c r="D178" i="4"/>
  <c r="E178" i="4"/>
  <c r="F178" i="4"/>
  <c r="G178" i="4"/>
  <c r="H178" i="4"/>
  <c r="I178" i="4"/>
  <c r="B155" i="4"/>
  <c r="D155" i="4"/>
  <c r="E155" i="4"/>
  <c r="F155" i="4"/>
  <c r="G155" i="4"/>
  <c r="H155" i="4"/>
  <c r="I155" i="4"/>
  <c r="A155" i="4"/>
  <c r="A131" i="4"/>
  <c r="B131" i="4"/>
  <c r="D131" i="4"/>
  <c r="E131" i="4"/>
  <c r="F131" i="4"/>
  <c r="G131" i="4"/>
  <c r="H131" i="4"/>
  <c r="I131" i="4"/>
  <c r="A132" i="4"/>
  <c r="B132" i="4"/>
  <c r="D132" i="4"/>
  <c r="E132" i="4"/>
  <c r="F132" i="4"/>
  <c r="G132" i="4"/>
  <c r="H132" i="4"/>
  <c r="I132" i="4"/>
  <c r="A133" i="4"/>
  <c r="B133" i="4"/>
  <c r="D133" i="4"/>
  <c r="E133" i="4"/>
  <c r="F133" i="4"/>
  <c r="G133" i="4"/>
  <c r="H133" i="4"/>
  <c r="I133" i="4"/>
  <c r="A134" i="4"/>
  <c r="B134" i="4"/>
  <c r="D134" i="4"/>
  <c r="E134" i="4"/>
  <c r="F134" i="4"/>
  <c r="G134" i="4"/>
  <c r="H134" i="4"/>
  <c r="I134" i="4"/>
  <c r="A135" i="4"/>
  <c r="B135" i="4"/>
  <c r="D135" i="4"/>
  <c r="E135" i="4"/>
  <c r="F135" i="4"/>
  <c r="G135" i="4"/>
  <c r="H135" i="4"/>
  <c r="I135" i="4"/>
  <c r="A136" i="4"/>
  <c r="B136" i="4"/>
  <c r="D136" i="4"/>
  <c r="E136" i="4"/>
  <c r="F136" i="4"/>
  <c r="G136" i="4"/>
  <c r="H136" i="4"/>
  <c r="I136" i="4"/>
  <c r="A137" i="4"/>
  <c r="B137" i="4"/>
  <c r="D137" i="4"/>
  <c r="E137" i="4"/>
  <c r="F137" i="4"/>
  <c r="G137" i="4"/>
  <c r="H137" i="4"/>
  <c r="I137" i="4"/>
  <c r="A138" i="4"/>
  <c r="B138" i="4"/>
  <c r="D138" i="4"/>
  <c r="E138" i="4"/>
  <c r="F138" i="4"/>
  <c r="G138" i="4"/>
  <c r="H138" i="4"/>
  <c r="I138" i="4"/>
  <c r="A139" i="4"/>
  <c r="B139" i="4"/>
  <c r="D139" i="4"/>
  <c r="E139" i="4"/>
  <c r="F139" i="4"/>
  <c r="G139" i="4"/>
  <c r="H139" i="4"/>
  <c r="I139" i="4"/>
  <c r="A140" i="4"/>
  <c r="B140" i="4"/>
  <c r="D140" i="4"/>
  <c r="E140" i="4"/>
  <c r="F140" i="4"/>
  <c r="G140" i="4"/>
  <c r="H140" i="4"/>
  <c r="I140" i="4"/>
  <c r="A141" i="4"/>
  <c r="B141" i="4"/>
  <c r="D141" i="4"/>
  <c r="E141" i="4"/>
  <c r="F141" i="4"/>
  <c r="G141" i="4"/>
  <c r="H141" i="4"/>
  <c r="I141" i="4"/>
  <c r="A142" i="4"/>
  <c r="B142" i="4"/>
  <c r="D142" i="4"/>
  <c r="E142" i="4"/>
  <c r="F142" i="4"/>
  <c r="G142" i="4"/>
  <c r="H142" i="4"/>
  <c r="I142" i="4"/>
  <c r="A143" i="4"/>
  <c r="B143" i="4"/>
  <c r="D143" i="4"/>
  <c r="E143" i="4"/>
  <c r="F143" i="4"/>
  <c r="G143" i="4"/>
  <c r="H143" i="4"/>
  <c r="I143" i="4"/>
  <c r="A144" i="4"/>
  <c r="B144" i="4"/>
  <c r="D144" i="4"/>
  <c r="E144" i="4"/>
  <c r="F144" i="4"/>
  <c r="G144" i="4"/>
  <c r="H144" i="4"/>
  <c r="I144" i="4"/>
  <c r="A145" i="4"/>
  <c r="B145" i="4"/>
  <c r="D145" i="4"/>
  <c r="E145" i="4"/>
  <c r="F145" i="4"/>
  <c r="G145" i="4"/>
  <c r="H145" i="4"/>
  <c r="I145" i="4"/>
  <c r="A146" i="4"/>
  <c r="B146" i="4"/>
  <c r="D146" i="4"/>
  <c r="E146" i="4"/>
  <c r="F146" i="4"/>
  <c r="G146" i="4"/>
  <c r="H146" i="4"/>
  <c r="I146" i="4"/>
  <c r="A147" i="4"/>
  <c r="B147" i="4"/>
  <c r="D147" i="4"/>
  <c r="E147" i="4"/>
  <c r="F147" i="4"/>
  <c r="G147" i="4"/>
  <c r="H147" i="4"/>
  <c r="I147" i="4"/>
  <c r="A148" i="4"/>
  <c r="B148" i="4"/>
  <c r="D148" i="4"/>
  <c r="E148" i="4"/>
  <c r="F148" i="4"/>
  <c r="G148" i="4"/>
  <c r="H148" i="4"/>
  <c r="I148" i="4"/>
  <c r="A149" i="4"/>
  <c r="B149" i="4"/>
  <c r="D149" i="4"/>
  <c r="E149" i="4"/>
  <c r="F149" i="4"/>
  <c r="G149" i="4"/>
  <c r="H149" i="4"/>
  <c r="I149" i="4"/>
  <c r="A150" i="4"/>
  <c r="B150" i="4"/>
  <c r="D150" i="4"/>
  <c r="E150" i="4"/>
  <c r="F150" i="4"/>
  <c r="G150" i="4"/>
  <c r="H150" i="4"/>
  <c r="I150" i="4"/>
  <c r="A151" i="4"/>
  <c r="B151" i="4"/>
  <c r="D151" i="4"/>
  <c r="E151" i="4"/>
  <c r="F151" i="4"/>
  <c r="G151" i="4"/>
  <c r="H151" i="4"/>
  <c r="I151" i="4"/>
  <c r="A152" i="4"/>
  <c r="B152" i="4"/>
  <c r="D152" i="4"/>
  <c r="E152" i="4"/>
  <c r="F152" i="4"/>
  <c r="G152" i="4"/>
  <c r="H152" i="4"/>
  <c r="I152" i="4"/>
  <c r="A153" i="4"/>
  <c r="B153" i="4"/>
  <c r="D153" i="4"/>
  <c r="E153" i="4"/>
  <c r="F153" i="4"/>
  <c r="G153" i="4"/>
  <c r="H153" i="4"/>
  <c r="I153" i="4"/>
  <c r="B130" i="4"/>
  <c r="D130" i="4"/>
  <c r="E130" i="4"/>
  <c r="F130" i="4"/>
  <c r="G130" i="4"/>
  <c r="H130" i="4"/>
  <c r="I130" i="4"/>
  <c r="A130" i="4"/>
  <c r="A106" i="4"/>
  <c r="B106" i="4"/>
  <c r="D106" i="4"/>
  <c r="E106" i="4"/>
  <c r="F106" i="4"/>
  <c r="G106" i="4"/>
  <c r="H106" i="4"/>
  <c r="I106" i="4"/>
  <c r="A107" i="4"/>
  <c r="B107" i="4"/>
  <c r="D107" i="4"/>
  <c r="E107" i="4"/>
  <c r="F107" i="4"/>
  <c r="G107" i="4"/>
  <c r="H107" i="4"/>
  <c r="I107" i="4"/>
  <c r="A108" i="4"/>
  <c r="B108" i="4"/>
  <c r="D108" i="4"/>
  <c r="E108" i="4"/>
  <c r="F108" i="4"/>
  <c r="G108" i="4"/>
  <c r="H108" i="4"/>
  <c r="I108" i="4"/>
  <c r="A109" i="4"/>
  <c r="B109" i="4"/>
  <c r="D109" i="4"/>
  <c r="E109" i="4"/>
  <c r="F109" i="4"/>
  <c r="G109" i="4"/>
  <c r="H109" i="4"/>
  <c r="I109" i="4"/>
  <c r="A110" i="4"/>
  <c r="B110" i="4"/>
  <c r="D110" i="4"/>
  <c r="E110" i="4"/>
  <c r="F110" i="4"/>
  <c r="G110" i="4"/>
  <c r="H110" i="4"/>
  <c r="I110" i="4"/>
  <c r="A111" i="4"/>
  <c r="B111" i="4"/>
  <c r="D111" i="4"/>
  <c r="E111" i="4"/>
  <c r="F111" i="4"/>
  <c r="G111" i="4"/>
  <c r="H111" i="4"/>
  <c r="I111" i="4"/>
  <c r="A112" i="4"/>
  <c r="B112" i="4"/>
  <c r="D112" i="4"/>
  <c r="E112" i="4"/>
  <c r="F112" i="4"/>
  <c r="G112" i="4"/>
  <c r="H112" i="4"/>
  <c r="I112" i="4"/>
  <c r="A113" i="4"/>
  <c r="B113" i="4"/>
  <c r="D113" i="4"/>
  <c r="E113" i="4"/>
  <c r="F113" i="4"/>
  <c r="G113" i="4"/>
  <c r="H113" i="4"/>
  <c r="I113" i="4"/>
  <c r="A114" i="4"/>
  <c r="B114" i="4"/>
  <c r="D114" i="4"/>
  <c r="E114" i="4"/>
  <c r="F114" i="4"/>
  <c r="G114" i="4"/>
  <c r="H114" i="4"/>
  <c r="I114" i="4"/>
  <c r="A115" i="4"/>
  <c r="B115" i="4"/>
  <c r="D115" i="4"/>
  <c r="E115" i="4"/>
  <c r="F115" i="4"/>
  <c r="G115" i="4"/>
  <c r="H115" i="4"/>
  <c r="I115" i="4"/>
  <c r="A116" i="4"/>
  <c r="B116" i="4"/>
  <c r="D116" i="4"/>
  <c r="E116" i="4"/>
  <c r="F116" i="4"/>
  <c r="G116" i="4"/>
  <c r="H116" i="4"/>
  <c r="I116" i="4"/>
  <c r="A117" i="4"/>
  <c r="B117" i="4"/>
  <c r="D117" i="4"/>
  <c r="E117" i="4"/>
  <c r="F117" i="4"/>
  <c r="G117" i="4"/>
  <c r="H117" i="4"/>
  <c r="I117" i="4"/>
  <c r="A118" i="4"/>
  <c r="B118" i="4"/>
  <c r="D118" i="4"/>
  <c r="E118" i="4"/>
  <c r="F118" i="4"/>
  <c r="G118" i="4"/>
  <c r="H118" i="4"/>
  <c r="I118" i="4"/>
  <c r="A119" i="4"/>
  <c r="B119" i="4"/>
  <c r="D119" i="4"/>
  <c r="E119" i="4"/>
  <c r="F119" i="4"/>
  <c r="G119" i="4"/>
  <c r="H119" i="4"/>
  <c r="I119" i="4"/>
  <c r="A120" i="4"/>
  <c r="B120" i="4"/>
  <c r="D120" i="4"/>
  <c r="E120" i="4"/>
  <c r="F120" i="4"/>
  <c r="G120" i="4"/>
  <c r="H120" i="4"/>
  <c r="I120" i="4"/>
  <c r="A121" i="4"/>
  <c r="B121" i="4"/>
  <c r="D121" i="4"/>
  <c r="E121" i="4"/>
  <c r="F121" i="4"/>
  <c r="G121" i="4"/>
  <c r="H121" i="4"/>
  <c r="I121" i="4"/>
  <c r="A122" i="4"/>
  <c r="B122" i="4"/>
  <c r="D122" i="4"/>
  <c r="E122" i="4"/>
  <c r="F122" i="4"/>
  <c r="G122" i="4"/>
  <c r="H122" i="4"/>
  <c r="I122" i="4"/>
  <c r="A123" i="4"/>
  <c r="B123" i="4"/>
  <c r="D123" i="4"/>
  <c r="E123" i="4"/>
  <c r="F123" i="4"/>
  <c r="G123" i="4"/>
  <c r="H123" i="4"/>
  <c r="I123" i="4"/>
  <c r="A124" i="4"/>
  <c r="B124" i="4"/>
  <c r="D124" i="4"/>
  <c r="E124" i="4"/>
  <c r="F124" i="4"/>
  <c r="G124" i="4"/>
  <c r="H124" i="4"/>
  <c r="I124" i="4"/>
  <c r="A125" i="4"/>
  <c r="B125" i="4"/>
  <c r="D125" i="4"/>
  <c r="E125" i="4"/>
  <c r="F125" i="4"/>
  <c r="G125" i="4"/>
  <c r="H125" i="4"/>
  <c r="I125" i="4"/>
  <c r="A126" i="4"/>
  <c r="B126" i="4"/>
  <c r="D126" i="4"/>
  <c r="E126" i="4"/>
  <c r="F126" i="4"/>
  <c r="G126" i="4"/>
  <c r="H126" i="4"/>
  <c r="I126" i="4"/>
  <c r="A127" i="4"/>
  <c r="B127" i="4"/>
  <c r="D127" i="4"/>
  <c r="E127" i="4"/>
  <c r="F127" i="4"/>
  <c r="G127" i="4"/>
  <c r="H127" i="4"/>
  <c r="I127" i="4"/>
  <c r="A128" i="4"/>
  <c r="B128" i="4"/>
  <c r="D128" i="4"/>
  <c r="E128" i="4"/>
  <c r="F128" i="4"/>
  <c r="G128" i="4"/>
  <c r="H128" i="4"/>
  <c r="I128" i="4"/>
  <c r="B105" i="4"/>
  <c r="D105" i="4"/>
  <c r="E105" i="4"/>
  <c r="F105" i="4"/>
  <c r="G105" i="4"/>
  <c r="H105" i="4"/>
  <c r="I105" i="4"/>
  <c r="A105" i="4"/>
  <c r="A81" i="4"/>
  <c r="B81" i="4"/>
  <c r="D81" i="4"/>
  <c r="E81" i="4"/>
  <c r="F81" i="4"/>
  <c r="G81" i="4"/>
  <c r="H81" i="4"/>
  <c r="I81" i="4"/>
  <c r="A82" i="4"/>
  <c r="B82" i="4"/>
  <c r="D82" i="4"/>
  <c r="E82" i="4"/>
  <c r="F82" i="4"/>
  <c r="G82" i="4"/>
  <c r="H82" i="4"/>
  <c r="I82" i="4"/>
  <c r="A83" i="4"/>
  <c r="B83" i="4"/>
  <c r="D83" i="4"/>
  <c r="E83" i="4"/>
  <c r="F83" i="4"/>
  <c r="G83" i="4"/>
  <c r="H83" i="4"/>
  <c r="I83" i="4"/>
  <c r="A84" i="4"/>
  <c r="B84" i="4"/>
  <c r="D84" i="4"/>
  <c r="E84" i="4"/>
  <c r="F84" i="4"/>
  <c r="G84" i="4"/>
  <c r="H84" i="4"/>
  <c r="I84" i="4"/>
  <c r="A85" i="4"/>
  <c r="B85" i="4"/>
  <c r="D85" i="4"/>
  <c r="E85" i="4"/>
  <c r="F85" i="4"/>
  <c r="G85" i="4"/>
  <c r="H85" i="4"/>
  <c r="I85" i="4"/>
  <c r="A86" i="4"/>
  <c r="B86" i="4"/>
  <c r="D86" i="4"/>
  <c r="E86" i="4"/>
  <c r="F86" i="4"/>
  <c r="G86" i="4"/>
  <c r="H86" i="4"/>
  <c r="I86" i="4"/>
  <c r="A87" i="4"/>
  <c r="B87" i="4"/>
  <c r="D87" i="4"/>
  <c r="E87" i="4"/>
  <c r="F87" i="4"/>
  <c r="G87" i="4"/>
  <c r="H87" i="4"/>
  <c r="I87" i="4"/>
  <c r="A88" i="4"/>
  <c r="B88" i="4"/>
  <c r="D88" i="4"/>
  <c r="E88" i="4"/>
  <c r="F88" i="4"/>
  <c r="G88" i="4"/>
  <c r="H88" i="4"/>
  <c r="I88" i="4"/>
  <c r="A89" i="4"/>
  <c r="B89" i="4"/>
  <c r="D89" i="4"/>
  <c r="E89" i="4"/>
  <c r="F89" i="4"/>
  <c r="G89" i="4"/>
  <c r="H89" i="4"/>
  <c r="I89" i="4"/>
  <c r="A90" i="4"/>
  <c r="B90" i="4"/>
  <c r="D90" i="4"/>
  <c r="E90" i="4"/>
  <c r="F90" i="4"/>
  <c r="G90" i="4"/>
  <c r="H90" i="4"/>
  <c r="I90" i="4"/>
  <c r="A91" i="4"/>
  <c r="B91" i="4"/>
  <c r="D91" i="4"/>
  <c r="E91" i="4"/>
  <c r="F91" i="4"/>
  <c r="G91" i="4"/>
  <c r="H91" i="4"/>
  <c r="I91" i="4"/>
  <c r="A92" i="4"/>
  <c r="B92" i="4"/>
  <c r="D92" i="4"/>
  <c r="E92" i="4"/>
  <c r="F92" i="4"/>
  <c r="G92" i="4"/>
  <c r="H92" i="4"/>
  <c r="I92" i="4"/>
  <c r="A93" i="4"/>
  <c r="B93" i="4"/>
  <c r="D93" i="4"/>
  <c r="E93" i="4"/>
  <c r="F93" i="4"/>
  <c r="G93" i="4"/>
  <c r="H93" i="4"/>
  <c r="I93" i="4"/>
  <c r="A94" i="4"/>
  <c r="B94" i="4"/>
  <c r="D94" i="4"/>
  <c r="E94" i="4"/>
  <c r="F94" i="4"/>
  <c r="G94" i="4"/>
  <c r="H94" i="4"/>
  <c r="I94" i="4"/>
  <c r="A95" i="4"/>
  <c r="B95" i="4"/>
  <c r="D95" i="4"/>
  <c r="E95" i="4"/>
  <c r="F95" i="4"/>
  <c r="G95" i="4"/>
  <c r="H95" i="4"/>
  <c r="I95" i="4"/>
  <c r="A96" i="4"/>
  <c r="B96" i="4"/>
  <c r="D96" i="4"/>
  <c r="E96" i="4"/>
  <c r="F96" i="4"/>
  <c r="G96" i="4"/>
  <c r="H96" i="4"/>
  <c r="I96" i="4"/>
  <c r="A97" i="4"/>
  <c r="B97" i="4"/>
  <c r="D97" i="4"/>
  <c r="E97" i="4"/>
  <c r="F97" i="4"/>
  <c r="G97" i="4"/>
  <c r="H97" i="4"/>
  <c r="I97" i="4"/>
  <c r="A98" i="4"/>
  <c r="B98" i="4"/>
  <c r="D98" i="4"/>
  <c r="E98" i="4"/>
  <c r="F98" i="4"/>
  <c r="G98" i="4"/>
  <c r="H98" i="4"/>
  <c r="I98" i="4"/>
  <c r="A99" i="4"/>
  <c r="B99" i="4"/>
  <c r="D99" i="4"/>
  <c r="E99" i="4"/>
  <c r="F99" i="4"/>
  <c r="G99" i="4"/>
  <c r="H99" i="4"/>
  <c r="I99" i="4"/>
  <c r="A100" i="4"/>
  <c r="B100" i="4"/>
  <c r="D100" i="4"/>
  <c r="E100" i="4"/>
  <c r="F100" i="4"/>
  <c r="G100" i="4"/>
  <c r="H100" i="4"/>
  <c r="I100" i="4"/>
  <c r="A101" i="4"/>
  <c r="B101" i="4"/>
  <c r="D101" i="4"/>
  <c r="E101" i="4"/>
  <c r="F101" i="4"/>
  <c r="G101" i="4"/>
  <c r="H101" i="4"/>
  <c r="I101" i="4"/>
  <c r="A102" i="4"/>
  <c r="B102" i="4"/>
  <c r="D102" i="4"/>
  <c r="E102" i="4"/>
  <c r="F102" i="4"/>
  <c r="G102" i="4"/>
  <c r="H102" i="4"/>
  <c r="I102" i="4"/>
  <c r="A103" i="4"/>
  <c r="B103" i="4"/>
  <c r="D103" i="4"/>
  <c r="E103" i="4"/>
  <c r="F103" i="4"/>
  <c r="G103" i="4"/>
  <c r="H103" i="4"/>
  <c r="I103" i="4"/>
  <c r="B80" i="4"/>
  <c r="D80" i="4"/>
  <c r="E80" i="4"/>
  <c r="F80" i="4"/>
  <c r="G80" i="4"/>
  <c r="H80" i="4"/>
  <c r="I80" i="4"/>
  <c r="A80" i="4"/>
  <c r="A56" i="4"/>
  <c r="B56" i="4"/>
  <c r="D56" i="4"/>
  <c r="E56" i="4"/>
  <c r="F56" i="4"/>
  <c r="G56" i="4"/>
  <c r="H56" i="4"/>
  <c r="I56" i="4"/>
  <c r="A57" i="4"/>
  <c r="B57" i="4"/>
  <c r="D57" i="4"/>
  <c r="E57" i="4"/>
  <c r="F57" i="4"/>
  <c r="G57" i="4"/>
  <c r="H57" i="4"/>
  <c r="I57" i="4"/>
  <c r="A58" i="4"/>
  <c r="B58" i="4"/>
  <c r="D58" i="4"/>
  <c r="E58" i="4"/>
  <c r="F58" i="4"/>
  <c r="G58" i="4"/>
  <c r="H58" i="4"/>
  <c r="I58" i="4"/>
  <c r="A59" i="4"/>
  <c r="B59" i="4"/>
  <c r="D59" i="4"/>
  <c r="E59" i="4"/>
  <c r="F59" i="4"/>
  <c r="G59" i="4"/>
  <c r="H59" i="4"/>
  <c r="I59" i="4"/>
  <c r="A60" i="4"/>
  <c r="B60" i="4"/>
  <c r="D60" i="4"/>
  <c r="E60" i="4"/>
  <c r="F60" i="4"/>
  <c r="G60" i="4"/>
  <c r="H60" i="4"/>
  <c r="I60" i="4"/>
  <c r="A61" i="4"/>
  <c r="B61" i="4"/>
  <c r="D61" i="4"/>
  <c r="E61" i="4"/>
  <c r="F61" i="4"/>
  <c r="G61" i="4"/>
  <c r="H61" i="4"/>
  <c r="I61" i="4"/>
  <c r="A62" i="4"/>
  <c r="B62" i="4"/>
  <c r="D62" i="4"/>
  <c r="E62" i="4"/>
  <c r="F62" i="4"/>
  <c r="G62" i="4"/>
  <c r="H62" i="4"/>
  <c r="I62" i="4"/>
  <c r="A63" i="4"/>
  <c r="B63" i="4"/>
  <c r="D63" i="4"/>
  <c r="E63" i="4"/>
  <c r="F63" i="4"/>
  <c r="G63" i="4"/>
  <c r="H63" i="4"/>
  <c r="I63" i="4"/>
  <c r="A64" i="4"/>
  <c r="B64" i="4"/>
  <c r="D64" i="4"/>
  <c r="E64" i="4"/>
  <c r="F64" i="4"/>
  <c r="G64" i="4"/>
  <c r="H64" i="4"/>
  <c r="I64" i="4"/>
  <c r="A65" i="4"/>
  <c r="B65" i="4"/>
  <c r="D65" i="4"/>
  <c r="E65" i="4"/>
  <c r="F65" i="4"/>
  <c r="G65" i="4"/>
  <c r="H65" i="4"/>
  <c r="I65" i="4"/>
  <c r="A66" i="4"/>
  <c r="B66" i="4"/>
  <c r="D66" i="4"/>
  <c r="E66" i="4"/>
  <c r="F66" i="4"/>
  <c r="G66" i="4"/>
  <c r="H66" i="4"/>
  <c r="I66" i="4"/>
  <c r="A67" i="4"/>
  <c r="B67" i="4"/>
  <c r="D67" i="4"/>
  <c r="E67" i="4"/>
  <c r="F67" i="4"/>
  <c r="G67" i="4"/>
  <c r="H67" i="4"/>
  <c r="I67" i="4"/>
  <c r="A68" i="4"/>
  <c r="B68" i="4"/>
  <c r="D68" i="4"/>
  <c r="E68" i="4"/>
  <c r="F68" i="4"/>
  <c r="G68" i="4"/>
  <c r="H68" i="4"/>
  <c r="I68" i="4"/>
  <c r="A69" i="4"/>
  <c r="B69" i="4"/>
  <c r="D69" i="4"/>
  <c r="E69" i="4"/>
  <c r="F69" i="4"/>
  <c r="G69" i="4"/>
  <c r="H69" i="4"/>
  <c r="I69" i="4"/>
  <c r="A70" i="4"/>
  <c r="B70" i="4"/>
  <c r="D70" i="4"/>
  <c r="E70" i="4"/>
  <c r="F70" i="4"/>
  <c r="G70" i="4"/>
  <c r="H70" i="4"/>
  <c r="I70" i="4"/>
  <c r="A71" i="4"/>
  <c r="B71" i="4"/>
  <c r="D71" i="4"/>
  <c r="E71" i="4"/>
  <c r="F71" i="4"/>
  <c r="G71" i="4"/>
  <c r="H71" i="4"/>
  <c r="I71" i="4"/>
  <c r="A72" i="4"/>
  <c r="B72" i="4"/>
  <c r="D72" i="4"/>
  <c r="E72" i="4"/>
  <c r="F72" i="4"/>
  <c r="G72" i="4"/>
  <c r="H72" i="4"/>
  <c r="I72" i="4"/>
  <c r="A73" i="4"/>
  <c r="B73" i="4"/>
  <c r="D73" i="4"/>
  <c r="E73" i="4"/>
  <c r="F73" i="4"/>
  <c r="G73" i="4"/>
  <c r="H73" i="4"/>
  <c r="I73" i="4"/>
  <c r="A74" i="4"/>
  <c r="B74" i="4"/>
  <c r="D74" i="4"/>
  <c r="E74" i="4"/>
  <c r="F74" i="4"/>
  <c r="G74" i="4"/>
  <c r="H74" i="4"/>
  <c r="I74" i="4"/>
  <c r="A75" i="4"/>
  <c r="B75" i="4"/>
  <c r="D75" i="4"/>
  <c r="E75" i="4"/>
  <c r="F75" i="4"/>
  <c r="G75" i="4"/>
  <c r="H75" i="4"/>
  <c r="I75" i="4"/>
  <c r="A76" i="4"/>
  <c r="B76" i="4"/>
  <c r="D76" i="4"/>
  <c r="E76" i="4"/>
  <c r="F76" i="4"/>
  <c r="G76" i="4"/>
  <c r="H76" i="4"/>
  <c r="I76" i="4"/>
  <c r="A77" i="4"/>
  <c r="B77" i="4"/>
  <c r="D77" i="4"/>
  <c r="E77" i="4"/>
  <c r="F77" i="4"/>
  <c r="G77" i="4"/>
  <c r="H77" i="4"/>
  <c r="I77" i="4"/>
  <c r="A78" i="4"/>
  <c r="B78" i="4"/>
  <c r="D78" i="4"/>
  <c r="E78" i="4"/>
  <c r="F78" i="4"/>
  <c r="G78" i="4"/>
  <c r="H78" i="4"/>
  <c r="I78" i="4"/>
  <c r="B55" i="4"/>
  <c r="D55" i="4"/>
  <c r="E55" i="4"/>
  <c r="F55" i="4"/>
  <c r="G55" i="4"/>
  <c r="H55" i="4"/>
  <c r="I55" i="4"/>
  <c r="A55" i="4"/>
  <c r="A31" i="4"/>
  <c r="B31" i="4"/>
  <c r="D31" i="4"/>
  <c r="E31" i="4"/>
  <c r="F31" i="4"/>
  <c r="G31" i="4"/>
  <c r="H31" i="4"/>
  <c r="I31" i="4"/>
  <c r="A32" i="4"/>
  <c r="B32" i="4"/>
  <c r="D32" i="4"/>
  <c r="E32" i="4"/>
  <c r="F32" i="4"/>
  <c r="G32" i="4"/>
  <c r="H32" i="4"/>
  <c r="I32" i="4"/>
  <c r="A33" i="4"/>
  <c r="B33" i="4"/>
  <c r="D33" i="4"/>
  <c r="E33" i="4"/>
  <c r="F33" i="4"/>
  <c r="G33" i="4"/>
  <c r="H33" i="4"/>
  <c r="I33" i="4"/>
  <c r="A34" i="4"/>
  <c r="B34" i="4"/>
  <c r="D34" i="4"/>
  <c r="E34" i="4"/>
  <c r="F34" i="4"/>
  <c r="G34" i="4"/>
  <c r="H34" i="4"/>
  <c r="I34" i="4"/>
  <c r="A35" i="4"/>
  <c r="B35" i="4"/>
  <c r="D35" i="4"/>
  <c r="E35" i="4"/>
  <c r="F35" i="4"/>
  <c r="G35" i="4"/>
  <c r="H35" i="4"/>
  <c r="I35" i="4"/>
  <c r="A36" i="4"/>
  <c r="B36" i="4"/>
  <c r="D36" i="4"/>
  <c r="E36" i="4"/>
  <c r="F36" i="4"/>
  <c r="G36" i="4"/>
  <c r="H36" i="4"/>
  <c r="I36" i="4"/>
  <c r="A37" i="4"/>
  <c r="B37" i="4"/>
  <c r="D37" i="4"/>
  <c r="E37" i="4"/>
  <c r="F37" i="4"/>
  <c r="G37" i="4"/>
  <c r="H37" i="4"/>
  <c r="I37" i="4"/>
  <c r="A38" i="4"/>
  <c r="B38" i="4"/>
  <c r="D38" i="4"/>
  <c r="E38" i="4"/>
  <c r="F38" i="4"/>
  <c r="G38" i="4"/>
  <c r="H38" i="4"/>
  <c r="I38" i="4"/>
  <c r="A39" i="4"/>
  <c r="B39" i="4"/>
  <c r="D39" i="4"/>
  <c r="E39" i="4"/>
  <c r="F39" i="4"/>
  <c r="G39" i="4"/>
  <c r="H39" i="4"/>
  <c r="I39" i="4"/>
  <c r="A40" i="4"/>
  <c r="B40" i="4"/>
  <c r="D40" i="4"/>
  <c r="E40" i="4"/>
  <c r="F40" i="4"/>
  <c r="G40" i="4"/>
  <c r="H40" i="4"/>
  <c r="I40" i="4"/>
  <c r="A41" i="4"/>
  <c r="B41" i="4"/>
  <c r="D41" i="4"/>
  <c r="E41" i="4"/>
  <c r="F41" i="4"/>
  <c r="G41" i="4"/>
  <c r="H41" i="4"/>
  <c r="I41" i="4"/>
  <c r="A42" i="4"/>
  <c r="B42" i="4"/>
  <c r="D42" i="4"/>
  <c r="E42" i="4"/>
  <c r="F42" i="4"/>
  <c r="G42" i="4"/>
  <c r="H42" i="4"/>
  <c r="I42" i="4"/>
  <c r="A43" i="4"/>
  <c r="B43" i="4"/>
  <c r="D43" i="4"/>
  <c r="E43" i="4"/>
  <c r="F43" i="4"/>
  <c r="G43" i="4"/>
  <c r="H43" i="4"/>
  <c r="I43" i="4"/>
  <c r="A44" i="4"/>
  <c r="B44" i="4"/>
  <c r="D44" i="4"/>
  <c r="E44" i="4"/>
  <c r="F44" i="4"/>
  <c r="G44" i="4"/>
  <c r="H44" i="4"/>
  <c r="I44" i="4"/>
  <c r="A45" i="4"/>
  <c r="B45" i="4"/>
  <c r="D45" i="4"/>
  <c r="E45" i="4"/>
  <c r="F45" i="4"/>
  <c r="G45" i="4"/>
  <c r="H45" i="4"/>
  <c r="I45" i="4"/>
  <c r="A46" i="4"/>
  <c r="B46" i="4"/>
  <c r="D46" i="4"/>
  <c r="E46" i="4"/>
  <c r="F46" i="4"/>
  <c r="G46" i="4"/>
  <c r="H46" i="4"/>
  <c r="I46" i="4"/>
  <c r="A47" i="4"/>
  <c r="B47" i="4"/>
  <c r="D47" i="4"/>
  <c r="E47" i="4"/>
  <c r="F47" i="4"/>
  <c r="G47" i="4"/>
  <c r="H47" i="4"/>
  <c r="I47" i="4"/>
  <c r="A48" i="4"/>
  <c r="B48" i="4"/>
  <c r="D48" i="4"/>
  <c r="E48" i="4"/>
  <c r="F48" i="4"/>
  <c r="G48" i="4"/>
  <c r="H48" i="4"/>
  <c r="I48" i="4"/>
  <c r="A49" i="4"/>
  <c r="B49" i="4"/>
  <c r="D49" i="4"/>
  <c r="E49" i="4"/>
  <c r="F49" i="4"/>
  <c r="G49" i="4"/>
  <c r="H49" i="4"/>
  <c r="I49" i="4"/>
  <c r="A50" i="4"/>
  <c r="B50" i="4"/>
  <c r="D50" i="4"/>
  <c r="E50" i="4"/>
  <c r="F50" i="4"/>
  <c r="G50" i="4"/>
  <c r="H50" i="4"/>
  <c r="I50" i="4"/>
  <c r="A51" i="4"/>
  <c r="B51" i="4"/>
  <c r="D51" i="4"/>
  <c r="E51" i="4"/>
  <c r="F51" i="4"/>
  <c r="G51" i="4"/>
  <c r="H51" i="4"/>
  <c r="I51" i="4"/>
  <c r="A52" i="4"/>
  <c r="B52" i="4"/>
  <c r="D52" i="4"/>
  <c r="E52" i="4"/>
  <c r="F52" i="4"/>
  <c r="G52" i="4"/>
  <c r="H52" i="4"/>
  <c r="I52" i="4"/>
  <c r="A53" i="4"/>
  <c r="B53" i="4"/>
  <c r="D53" i="4"/>
  <c r="E53" i="4"/>
  <c r="F53" i="4"/>
  <c r="G53" i="4"/>
  <c r="H53" i="4"/>
  <c r="I53" i="4"/>
  <c r="B30" i="4"/>
  <c r="D30" i="4"/>
  <c r="E30" i="4"/>
  <c r="F30" i="4"/>
  <c r="G30" i="4"/>
  <c r="H30" i="4"/>
  <c r="I30" i="4"/>
  <c r="A30" i="4"/>
  <c r="A28" i="4"/>
  <c r="B28" i="4"/>
  <c r="D28" i="4"/>
  <c r="E28" i="4"/>
  <c r="F28" i="4"/>
  <c r="G28" i="4"/>
  <c r="H28" i="4"/>
  <c r="I28" i="4"/>
  <c r="A6" i="4"/>
  <c r="B6" i="4"/>
  <c r="D6" i="4"/>
  <c r="E6" i="4"/>
  <c r="F6" i="4"/>
  <c r="G6" i="4"/>
  <c r="H6" i="4"/>
  <c r="I6" i="4"/>
  <c r="A7" i="4"/>
  <c r="B7" i="4"/>
  <c r="D7" i="4"/>
  <c r="E7" i="4"/>
  <c r="F7" i="4"/>
  <c r="G7" i="4"/>
  <c r="H7" i="4"/>
  <c r="I7" i="4"/>
  <c r="A8" i="4"/>
  <c r="B8" i="4"/>
  <c r="D8" i="4"/>
  <c r="E8" i="4"/>
  <c r="F8" i="4"/>
  <c r="G8" i="4"/>
  <c r="H8" i="4"/>
  <c r="A9" i="4"/>
  <c r="B9" i="4"/>
  <c r="D9" i="4"/>
  <c r="E9" i="4"/>
  <c r="F9" i="4"/>
  <c r="G9" i="4"/>
  <c r="H9" i="4"/>
  <c r="I9" i="4"/>
  <c r="A10" i="4"/>
  <c r="B10" i="4"/>
  <c r="D10" i="4"/>
  <c r="E10" i="4"/>
  <c r="F10" i="4"/>
  <c r="G10" i="4"/>
  <c r="H10" i="4"/>
  <c r="I10" i="4"/>
  <c r="A11" i="4"/>
  <c r="B11" i="4"/>
  <c r="D11" i="4"/>
  <c r="E11" i="4"/>
  <c r="F11" i="4"/>
  <c r="G11" i="4"/>
  <c r="H11" i="4"/>
  <c r="I11" i="4"/>
  <c r="A12" i="4"/>
  <c r="B12" i="4"/>
  <c r="D12" i="4"/>
  <c r="E12" i="4"/>
  <c r="F12" i="4"/>
  <c r="G12" i="4"/>
  <c r="H12" i="4"/>
  <c r="I12" i="4"/>
  <c r="A13" i="4"/>
  <c r="B13" i="4"/>
  <c r="D13" i="4"/>
  <c r="E13" i="4"/>
  <c r="F13" i="4"/>
  <c r="G13" i="4"/>
  <c r="H13" i="4"/>
  <c r="I13" i="4"/>
  <c r="A14" i="4"/>
  <c r="B14" i="4"/>
  <c r="D14" i="4"/>
  <c r="E14" i="4"/>
  <c r="F14" i="4"/>
  <c r="G14" i="4"/>
  <c r="H14" i="4"/>
  <c r="I14" i="4"/>
  <c r="A15" i="4"/>
  <c r="B15" i="4"/>
  <c r="D15" i="4"/>
  <c r="E15" i="4"/>
  <c r="F15" i="4"/>
  <c r="G15" i="4"/>
  <c r="H15" i="4"/>
  <c r="I15" i="4"/>
  <c r="A16" i="4"/>
  <c r="B16" i="4"/>
  <c r="D16" i="4"/>
  <c r="E16" i="4"/>
  <c r="F16" i="4"/>
  <c r="G16" i="4"/>
  <c r="H16" i="4"/>
  <c r="I16" i="4"/>
  <c r="A17" i="4"/>
  <c r="B17" i="4"/>
  <c r="D17" i="4"/>
  <c r="E17" i="4"/>
  <c r="F17" i="4"/>
  <c r="G17" i="4"/>
  <c r="H17" i="4"/>
  <c r="I17" i="4"/>
  <c r="A18" i="4"/>
  <c r="B18" i="4"/>
  <c r="D18" i="4"/>
  <c r="E18" i="4"/>
  <c r="F18" i="4"/>
  <c r="G18" i="4"/>
  <c r="H18" i="4"/>
  <c r="I18" i="4"/>
  <c r="A19" i="4"/>
  <c r="B19" i="4"/>
  <c r="D19" i="4"/>
  <c r="E19" i="4"/>
  <c r="F19" i="4"/>
  <c r="G19" i="4"/>
  <c r="H19" i="4"/>
  <c r="I19" i="4"/>
  <c r="A20" i="4"/>
  <c r="B20" i="4"/>
  <c r="D20" i="4"/>
  <c r="E20" i="4"/>
  <c r="F20" i="4"/>
  <c r="G20" i="4"/>
  <c r="H20" i="4"/>
  <c r="I20" i="4"/>
  <c r="A21" i="4"/>
  <c r="B21" i="4"/>
  <c r="D21" i="4"/>
  <c r="E21" i="4"/>
  <c r="F21" i="4"/>
  <c r="G21" i="4"/>
  <c r="H21" i="4"/>
  <c r="I21" i="4"/>
  <c r="A22" i="4"/>
  <c r="B22" i="4"/>
  <c r="D22" i="4"/>
  <c r="E22" i="4"/>
  <c r="F22" i="4"/>
  <c r="G22" i="4"/>
  <c r="H22" i="4"/>
  <c r="I22" i="4"/>
  <c r="A23" i="4"/>
  <c r="B23" i="4"/>
  <c r="D23" i="4"/>
  <c r="E23" i="4"/>
  <c r="F23" i="4"/>
  <c r="G23" i="4"/>
  <c r="H23" i="4"/>
  <c r="I23" i="4"/>
  <c r="A24" i="4"/>
  <c r="B24" i="4"/>
  <c r="D24" i="4"/>
  <c r="E24" i="4"/>
  <c r="F24" i="4"/>
  <c r="G24" i="4"/>
  <c r="H24" i="4"/>
  <c r="I24" i="4"/>
  <c r="A25" i="4"/>
  <c r="B25" i="4"/>
  <c r="D25" i="4"/>
  <c r="E25" i="4"/>
  <c r="F25" i="4"/>
  <c r="G25" i="4"/>
  <c r="H25" i="4"/>
  <c r="I25" i="4"/>
  <c r="A26" i="4"/>
  <c r="B26" i="4"/>
  <c r="D26" i="4"/>
  <c r="E26" i="4"/>
  <c r="F26" i="4"/>
  <c r="G26" i="4"/>
  <c r="H26" i="4"/>
  <c r="I26" i="4"/>
  <c r="A27" i="4"/>
  <c r="B27" i="4"/>
  <c r="D27" i="4"/>
  <c r="E27" i="4"/>
  <c r="F27" i="4"/>
  <c r="G27" i="4"/>
  <c r="H27" i="4"/>
  <c r="I27" i="4"/>
  <c r="B5" i="4"/>
  <c r="D5" i="4"/>
  <c r="E5" i="4"/>
  <c r="F5" i="4"/>
  <c r="G5" i="4"/>
  <c r="H5" i="4"/>
  <c r="I5" i="4"/>
  <c r="A5" i="4"/>
  <c r="A147" i="5"/>
  <c r="B147" i="5"/>
  <c r="D147" i="5"/>
  <c r="E147" i="5"/>
  <c r="F147" i="5"/>
  <c r="G147" i="5"/>
  <c r="H147" i="5"/>
  <c r="I147" i="5"/>
  <c r="A148" i="5"/>
  <c r="B148" i="5"/>
  <c r="D148" i="5"/>
  <c r="E148" i="5"/>
  <c r="F148" i="5"/>
  <c r="G148" i="5"/>
  <c r="H148" i="5"/>
  <c r="I148" i="5"/>
  <c r="A149" i="5"/>
  <c r="B149" i="5"/>
  <c r="D149" i="5"/>
  <c r="E149" i="5"/>
  <c r="F149" i="5"/>
  <c r="G149" i="5"/>
  <c r="H149" i="5"/>
  <c r="I149" i="5"/>
  <c r="A150" i="5"/>
  <c r="B150" i="5"/>
  <c r="D150" i="5"/>
  <c r="E150" i="5"/>
  <c r="F150" i="5"/>
  <c r="G150" i="5"/>
  <c r="H150" i="5"/>
  <c r="I150" i="5"/>
  <c r="A151" i="5"/>
  <c r="B151" i="5"/>
  <c r="D151" i="5"/>
  <c r="E151" i="5"/>
  <c r="F151" i="5"/>
  <c r="G151" i="5"/>
  <c r="H151" i="5"/>
  <c r="I151" i="5"/>
  <c r="A152" i="5"/>
  <c r="B152" i="5"/>
  <c r="D152" i="5"/>
  <c r="E152" i="5"/>
  <c r="F152" i="5"/>
  <c r="G152" i="5"/>
  <c r="H152" i="5"/>
  <c r="I152" i="5"/>
  <c r="A153" i="5"/>
  <c r="B153" i="5"/>
  <c r="D153" i="5"/>
  <c r="E153" i="5"/>
  <c r="F153" i="5"/>
  <c r="G153" i="5"/>
  <c r="H153" i="5"/>
  <c r="I153" i="5"/>
  <c r="A154" i="5"/>
  <c r="B154" i="5"/>
  <c r="D154" i="5"/>
  <c r="E154" i="5"/>
  <c r="F154" i="5"/>
  <c r="G154" i="5"/>
  <c r="H154" i="5"/>
  <c r="I154" i="5"/>
  <c r="A155" i="5"/>
  <c r="B155" i="5"/>
  <c r="D155" i="5"/>
  <c r="E155" i="5"/>
  <c r="F155" i="5"/>
  <c r="G155" i="5"/>
  <c r="H155" i="5"/>
  <c r="I155" i="5"/>
  <c r="A156" i="5"/>
  <c r="B156" i="5"/>
  <c r="D156" i="5"/>
  <c r="E156" i="5"/>
  <c r="F156" i="5"/>
  <c r="G156" i="5"/>
  <c r="H156" i="5"/>
  <c r="I156" i="5"/>
  <c r="A157" i="5"/>
  <c r="B157" i="5"/>
  <c r="D157" i="5"/>
  <c r="E157" i="5"/>
  <c r="F157" i="5"/>
  <c r="G157" i="5"/>
  <c r="H157" i="5"/>
  <c r="I157" i="5"/>
  <c r="A158" i="5"/>
  <c r="B158" i="5"/>
  <c r="D158" i="5"/>
  <c r="E158" i="5"/>
  <c r="F158" i="5"/>
  <c r="G158" i="5"/>
  <c r="H158" i="5"/>
  <c r="I158" i="5"/>
  <c r="A159" i="5"/>
  <c r="B159" i="5"/>
  <c r="D159" i="5"/>
  <c r="E159" i="5"/>
  <c r="F159" i="5"/>
  <c r="G159" i="5"/>
  <c r="H159" i="5"/>
  <c r="I159" i="5"/>
  <c r="A160" i="5"/>
  <c r="B160" i="5"/>
  <c r="D160" i="5"/>
  <c r="E160" i="5"/>
  <c r="F160" i="5"/>
  <c r="G160" i="5"/>
  <c r="H160" i="5"/>
  <c r="I160" i="5"/>
  <c r="A161" i="5"/>
  <c r="B161" i="5"/>
  <c r="D161" i="5"/>
  <c r="E161" i="5"/>
  <c r="F161" i="5"/>
  <c r="G161" i="5"/>
  <c r="H161" i="5"/>
  <c r="I161" i="5"/>
  <c r="A162" i="5"/>
  <c r="B162" i="5"/>
  <c r="D162" i="5"/>
  <c r="E162" i="5"/>
  <c r="F162" i="5"/>
  <c r="G162" i="5"/>
  <c r="H162" i="5"/>
  <c r="I162" i="5"/>
  <c r="A163" i="5"/>
  <c r="B163" i="5"/>
  <c r="D163" i="5"/>
  <c r="E163" i="5"/>
  <c r="F163" i="5"/>
  <c r="G163" i="5"/>
  <c r="H163" i="5"/>
  <c r="I163" i="5"/>
  <c r="A164" i="5"/>
  <c r="B164" i="5"/>
  <c r="D164" i="5"/>
  <c r="E164" i="5"/>
  <c r="F164" i="5"/>
  <c r="G164" i="5"/>
  <c r="H164" i="5"/>
  <c r="I164" i="5"/>
  <c r="A165" i="5"/>
  <c r="B165" i="5"/>
  <c r="D165" i="5"/>
  <c r="E165" i="5"/>
  <c r="F165" i="5"/>
  <c r="G165" i="5"/>
  <c r="H165" i="5"/>
  <c r="I165" i="5"/>
  <c r="A166" i="5"/>
  <c r="B166" i="5"/>
  <c r="D166" i="5"/>
  <c r="E166" i="5"/>
  <c r="F166" i="5"/>
  <c r="G166" i="5"/>
  <c r="H166" i="5"/>
  <c r="I166" i="5"/>
  <c r="A167" i="5"/>
  <c r="B167" i="5"/>
  <c r="D167" i="5"/>
  <c r="E167" i="5"/>
  <c r="F167" i="5"/>
  <c r="G167" i="5"/>
  <c r="H167" i="5"/>
  <c r="I167" i="5"/>
  <c r="A168" i="5"/>
  <c r="B168" i="5"/>
  <c r="D168" i="5"/>
  <c r="E168" i="5"/>
  <c r="F168" i="5"/>
  <c r="G168" i="5"/>
  <c r="H168" i="5"/>
  <c r="I168" i="5"/>
  <c r="A169" i="5"/>
  <c r="B169" i="5"/>
  <c r="D169" i="5"/>
  <c r="E169" i="5"/>
  <c r="F169" i="5"/>
  <c r="G169" i="5"/>
  <c r="H169" i="5"/>
  <c r="I169" i="5"/>
  <c r="B146" i="5"/>
  <c r="D146" i="5"/>
  <c r="E146" i="5"/>
  <c r="F146" i="5"/>
  <c r="G146" i="5"/>
  <c r="H146" i="5"/>
  <c r="I146" i="5"/>
  <c r="A146" i="5"/>
  <c r="A122" i="5"/>
  <c r="B122" i="5"/>
  <c r="D122" i="5"/>
  <c r="E122" i="5"/>
  <c r="F122" i="5"/>
  <c r="G122" i="5"/>
  <c r="H122" i="5"/>
  <c r="I122" i="5"/>
  <c r="A123" i="5"/>
  <c r="B123" i="5"/>
  <c r="D123" i="5"/>
  <c r="E123" i="5"/>
  <c r="F123" i="5"/>
  <c r="G123" i="5"/>
  <c r="H123" i="5"/>
  <c r="I123" i="5"/>
  <c r="A124" i="5"/>
  <c r="B124" i="5"/>
  <c r="D124" i="5"/>
  <c r="E124" i="5"/>
  <c r="F124" i="5"/>
  <c r="G124" i="5"/>
  <c r="H124" i="5"/>
  <c r="I124" i="5"/>
  <c r="A125" i="5"/>
  <c r="B125" i="5"/>
  <c r="D125" i="5"/>
  <c r="E125" i="5"/>
  <c r="F125" i="5"/>
  <c r="G125" i="5"/>
  <c r="H125" i="5"/>
  <c r="I125" i="5"/>
  <c r="A126" i="5"/>
  <c r="B126" i="5"/>
  <c r="D126" i="5"/>
  <c r="E126" i="5"/>
  <c r="F126" i="5"/>
  <c r="G126" i="5"/>
  <c r="H126" i="5"/>
  <c r="I126" i="5"/>
  <c r="A127" i="5"/>
  <c r="B127" i="5"/>
  <c r="D127" i="5"/>
  <c r="E127" i="5"/>
  <c r="F127" i="5"/>
  <c r="G127" i="5"/>
  <c r="H127" i="5"/>
  <c r="I127" i="5"/>
  <c r="A128" i="5"/>
  <c r="B128" i="5"/>
  <c r="D128" i="5"/>
  <c r="E128" i="5"/>
  <c r="F128" i="5"/>
  <c r="G128" i="5"/>
  <c r="H128" i="5"/>
  <c r="I128" i="5"/>
  <c r="A129" i="5"/>
  <c r="B129" i="5"/>
  <c r="D129" i="5"/>
  <c r="E129" i="5"/>
  <c r="F129" i="5"/>
  <c r="G129" i="5"/>
  <c r="H129" i="5"/>
  <c r="I129" i="5"/>
  <c r="A130" i="5"/>
  <c r="B130" i="5"/>
  <c r="D130" i="5"/>
  <c r="E130" i="5"/>
  <c r="F130" i="5"/>
  <c r="G130" i="5"/>
  <c r="H130" i="5"/>
  <c r="I130" i="5"/>
  <c r="A131" i="5"/>
  <c r="B131" i="5"/>
  <c r="D131" i="5"/>
  <c r="E131" i="5"/>
  <c r="F131" i="5"/>
  <c r="G131" i="5"/>
  <c r="H131" i="5"/>
  <c r="I131" i="5"/>
  <c r="A132" i="5"/>
  <c r="B132" i="5"/>
  <c r="D132" i="5"/>
  <c r="E132" i="5"/>
  <c r="F132" i="5"/>
  <c r="G132" i="5"/>
  <c r="H132" i="5"/>
  <c r="I132" i="5"/>
  <c r="A133" i="5"/>
  <c r="B133" i="5"/>
  <c r="D133" i="5"/>
  <c r="E133" i="5"/>
  <c r="F133" i="5"/>
  <c r="G133" i="5"/>
  <c r="H133" i="5"/>
  <c r="I133" i="5"/>
  <c r="A134" i="5"/>
  <c r="B134" i="5"/>
  <c r="D134" i="5"/>
  <c r="E134" i="5"/>
  <c r="F134" i="5"/>
  <c r="G134" i="5"/>
  <c r="H134" i="5"/>
  <c r="I134" i="5"/>
  <c r="A135" i="5"/>
  <c r="B135" i="5"/>
  <c r="D135" i="5"/>
  <c r="E135" i="5"/>
  <c r="F135" i="5"/>
  <c r="G135" i="5"/>
  <c r="H135" i="5"/>
  <c r="I135" i="5"/>
  <c r="A136" i="5"/>
  <c r="B136" i="5"/>
  <c r="D136" i="5"/>
  <c r="E136" i="5"/>
  <c r="F136" i="5"/>
  <c r="G136" i="5"/>
  <c r="H136" i="5"/>
  <c r="I136" i="5"/>
  <c r="A137" i="5"/>
  <c r="B137" i="5"/>
  <c r="D137" i="5"/>
  <c r="E137" i="5"/>
  <c r="F137" i="5"/>
  <c r="G137" i="5"/>
  <c r="H137" i="5"/>
  <c r="I137" i="5"/>
  <c r="A138" i="5"/>
  <c r="B138" i="5"/>
  <c r="D138" i="5"/>
  <c r="E138" i="5"/>
  <c r="F138" i="5"/>
  <c r="G138" i="5"/>
  <c r="H138" i="5"/>
  <c r="I138" i="5"/>
  <c r="A139" i="5"/>
  <c r="B139" i="5"/>
  <c r="D139" i="5"/>
  <c r="E139" i="5"/>
  <c r="F139" i="5"/>
  <c r="G139" i="5"/>
  <c r="H139" i="5"/>
  <c r="I139" i="5"/>
  <c r="A140" i="5"/>
  <c r="B140" i="5"/>
  <c r="D140" i="5"/>
  <c r="E140" i="5"/>
  <c r="F140" i="5"/>
  <c r="G140" i="5"/>
  <c r="H140" i="5"/>
  <c r="I140" i="5"/>
  <c r="A141" i="5"/>
  <c r="B141" i="5"/>
  <c r="D141" i="5"/>
  <c r="E141" i="5"/>
  <c r="F141" i="5"/>
  <c r="G141" i="5"/>
  <c r="H141" i="5"/>
  <c r="I141" i="5"/>
  <c r="A142" i="5"/>
  <c r="B142" i="5"/>
  <c r="D142" i="5"/>
  <c r="E142" i="5"/>
  <c r="F142" i="5"/>
  <c r="G142" i="5"/>
  <c r="H142" i="5"/>
  <c r="I142" i="5"/>
  <c r="A143" i="5"/>
  <c r="B143" i="5"/>
  <c r="D143" i="5"/>
  <c r="E143" i="5"/>
  <c r="F143" i="5"/>
  <c r="G143" i="5"/>
  <c r="H143" i="5"/>
  <c r="I143" i="5"/>
  <c r="A144" i="5"/>
  <c r="B144" i="5"/>
  <c r="D144" i="5"/>
  <c r="E144" i="5"/>
  <c r="F144" i="5"/>
  <c r="G144" i="5"/>
  <c r="H144" i="5"/>
  <c r="I144" i="5"/>
  <c r="B121" i="5"/>
  <c r="D121" i="5"/>
  <c r="E121" i="5"/>
  <c r="F121" i="5"/>
  <c r="G121" i="5"/>
  <c r="H121" i="5"/>
  <c r="I121" i="5"/>
  <c r="A121" i="5"/>
  <c r="A97" i="5"/>
  <c r="B97" i="5"/>
  <c r="D97" i="5"/>
  <c r="E97" i="5"/>
  <c r="F97" i="5"/>
  <c r="G97" i="5"/>
  <c r="H97" i="5"/>
  <c r="I97" i="5"/>
  <c r="A98" i="5"/>
  <c r="B98" i="5"/>
  <c r="D98" i="5"/>
  <c r="E98" i="5"/>
  <c r="F98" i="5"/>
  <c r="G98" i="5"/>
  <c r="H98" i="5"/>
  <c r="I98" i="5"/>
  <c r="A99" i="5"/>
  <c r="B99" i="5"/>
  <c r="D99" i="5"/>
  <c r="E99" i="5"/>
  <c r="F99" i="5"/>
  <c r="G99" i="5"/>
  <c r="H99" i="5"/>
  <c r="I99" i="5"/>
  <c r="A100" i="5"/>
  <c r="B100" i="5"/>
  <c r="D100" i="5"/>
  <c r="E100" i="5"/>
  <c r="F100" i="5"/>
  <c r="G100" i="5"/>
  <c r="H100" i="5"/>
  <c r="I100" i="5"/>
  <c r="A101" i="5"/>
  <c r="B101" i="5"/>
  <c r="D101" i="5"/>
  <c r="E101" i="5"/>
  <c r="F101" i="5"/>
  <c r="G101" i="5"/>
  <c r="H101" i="5"/>
  <c r="I101" i="5"/>
  <c r="A102" i="5"/>
  <c r="B102" i="5"/>
  <c r="D102" i="5"/>
  <c r="E102" i="5"/>
  <c r="F102" i="5"/>
  <c r="G102" i="5"/>
  <c r="H102" i="5"/>
  <c r="I102" i="5"/>
  <c r="A103" i="5"/>
  <c r="B103" i="5"/>
  <c r="D103" i="5"/>
  <c r="E103" i="5"/>
  <c r="F103" i="5"/>
  <c r="G103" i="5"/>
  <c r="H103" i="5"/>
  <c r="I103" i="5"/>
  <c r="A104" i="5"/>
  <c r="B104" i="5"/>
  <c r="D104" i="5"/>
  <c r="E104" i="5"/>
  <c r="F104" i="5"/>
  <c r="G104" i="5"/>
  <c r="H104" i="5"/>
  <c r="I104" i="5"/>
  <c r="A105" i="5"/>
  <c r="B105" i="5"/>
  <c r="D105" i="5"/>
  <c r="E105" i="5"/>
  <c r="F105" i="5"/>
  <c r="G105" i="5"/>
  <c r="H105" i="5"/>
  <c r="I105" i="5"/>
  <c r="A106" i="5"/>
  <c r="B106" i="5"/>
  <c r="D106" i="5"/>
  <c r="E106" i="5"/>
  <c r="F106" i="5"/>
  <c r="G106" i="5"/>
  <c r="H106" i="5"/>
  <c r="I106" i="5"/>
  <c r="A107" i="5"/>
  <c r="B107" i="5"/>
  <c r="D107" i="5"/>
  <c r="E107" i="5"/>
  <c r="F107" i="5"/>
  <c r="G107" i="5"/>
  <c r="H107" i="5"/>
  <c r="I107" i="5"/>
  <c r="A108" i="5"/>
  <c r="B108" i="5"/>
  <c r="D108" i="5"/>
  <c r="E108" i="5"/>
  <c r="F108" i="5"/>
  <c r="G108" i="5"/>
  <c r="H108" i="5"/>
  <c r="I108" i="5"/>
  <c r="A109" i="5"/>
  <c r="B109" i="5"/>
  <c r="D109" i="5"/>
  <c r="E109" i="5"/>
  <c r="F109" i="5"/>
  <c r="G109" i="5"/>
  <c r="H109" i="5"/>
  <c r="I109" i="5"/>
  <c r="A110" i="5"/>
  <c r="B110" i="5"/>
  <c r="D110" i="5"/>
  <c r="E110" i="5"/>
  <c r="F110" i="5"/>
  <c r="G110" i="5"/>
  <c r="H110" i="5"/>
  <c r="I110" i="5"/>
  <c r="A111" i="5"/>
  <c r="B111" i="5"/>
  <c r="D111" i="5"/>
  <c r="E111" i="5"/>
  <c r="F111" i="5"/>
  <c r="G111" i="5"/>
  <c r="H111" i="5"/>
  <c r="I111" i="5"/>
  <c r="A112" i="5"/>
  <c r="B112" i="5"/>
  <c r="D112" i="5"/>
  <c r="E112" i="5"/>
  <c r="F112" i="5"/>
  <c r="G112" i="5"/>
  <c r="H112" i="5"/>
  <c r="I112" i="5"/>
  <c r="A113" i="5"/>
  <c r="B113" i="5"/>
  <c r="D113" i="5"/>
  <c r="E113" i="5"/>
  <c r="F113" i="5"/>
  <c r="G113" i="5"/>
  <c r="H113" i="5"/>
  <c r="I113" i="5"/>
  <c r="A114" i="5"/>
  <c r="B114" i="5"/>
  <c r="D114" i="5"/>
  <c r="E114" i="5"/>
  <c r="F114" i="5"/>
  <c r="G114" i="5"/>
  <c r="H114" i="5"/>
  <c r="I114" i="5"/>
  <c r="A115" i="5"/>
  <c r="B115" i="5"/>
  <c r="D115" i="5"/>
  <c r="E115" i="5"/>
  <c r="F115" i="5"/>
  <c r="G115" i="5"/>
  <c r="H115" i="5"/>
  <c r="I115" i="5"/>
  <c r="A116" i="5"/>
  <c r="B116" i="5"/>
  <c r="D116" i="5"/>
  <c r="E116" i="5"/>
  <c r="F116" i="5"/>
  <c r="G116" i="5"/>
  <c r="H116" i="5"/>
  <c r="I116" i="5"/>
  <c r="A117" i="5"/>
  <c r="B117" i="5"/>
  <c r="D117" i="5"/>
  <c r="E117" i="5"/>
  <c r="F117" i="5"/>
  <c r="G117" i="5"/>
  <c r="H117" i="5"/>
  <c r="I117" i="5"/>
  <c r="A118" i="5"/>
  <c r="B118" i="5"/>
  <c r="D118" i="5"/>
  <c r="E118" i="5"/>
  <c r="F118" i="5"/>
  <c r="G118" i="5"/>
  <c r="H118" i="5"/>
  <c r="I118" i="5"/>
  <c r="A119" i="5"/>
  <c r="B119" i="5"/>
  <c r="D119" i="5"/>
  <c r="E119" i="5"/>
  <c r="F119" i="5"/>
  <c r="G119" i="5"/>
  <c r="H119" i="5"/>
  <c r="I119" i="5"/>
  <c r="B96" i="5"/>
  <c r="D96" i="5"/>
  <c r="E96" i="5"/>
  <c r="F96" i="5"/>
  <c r="G96" i="5"/>
  <c r="H96" i="5"/>
  <c r="I96" i="5"/>
  <c r="A96" i="5"/>
  <c r="A72" i="5"/>
  <c r="B72" i="5"/>
  <c r="D72" i="5"/>
  <c r="E72" i="5"/>
  <c r="F72" i="5"/>
  <c r="G72" i="5"/>
  <c r="H72" i="5"/>
  <c r="I72" i="5"/>
  <c r="A73" i="5"/>
  <c r="B73" i="5"/>
  <c r="D73" i="5"/>
  <c r="E73" i="5"/>
  <c r="F73" i="5"/>
  <c r="G73" i="5"/>
  <c r="H73" i="5"/>
  <c r="I73" i="5"/>
  <c r="A74" i="5"/>
  <c r="B74" i="5"/>
  <c r="D74" i="5"/>
  <c r="E74" i="5"/>
  <c r="F74" i="5"/>
  <c r="G74" i="5"/>
  <c r="H74" i="5"/>
  <c r="I74" i="5"/>
  <c r="A75" i="5"/>
  <c r="B75" i="5"/>
  <c r="D75" i="5"/>
  <c r="E75" i="5"/>
  <c r="F75" i="5"/>
  <c r="G75" i="5"/>
  <c r="H75" i="5"/>
  <c r="I75" i="5"/>
  <c r="A76" i="5"/>
  <c r="B76" i="5"/>
  <c r="D76" i="5"/>
  <c r="E76" i="5"/>
  <c r="F76" i="5"/>
  <c r="G76" i="5"/>
  <c r="H76" i="5"/>
  <c r="I76" i="5"/>
  <c r="A77" i="5"/>
  <c r="B77" i="5"/>
  <c r="D77" i="5"/>
  <c r="E77" i="5"/>
  <c r="F77" i="5"/>
  <c r="G77" i="5"/>
  <c r="H77" i="5"/>
  <c r="I77" i="5"/>
  <c r="A78" i="5"/>
  <c r="B78" i="5"/>
  <c r="D78" i="5"/>
  <c r="E78" i="5"/>
  <c r="F78" i="5"/>
  <c r="G78" i="5"/>
  <c r="H78" i="5"/>
  <c r="I78" i="5"/>
  <c r="A79" i="5"/>
  <c r="B79" i="5"/>
  <c r="D79" i="5"/>
  <c r="E79" i="5"/>
  <c r="F79" i="5"/>
  <c r="G79" i="5"/>
  <c r="H79" i="5"/>
  <c r="I79" i="5"/>
  <c r="A80" i="5"/>
  <c r="B80" i="5"/>
  <c r="D80" i="5"/>
  <c r="E80" i="5"/>
  <c r="F80" i="5"/>
  <c r="G80" i="5"/>
  <c r="H80" i="5"/>
  <c r="I80" i="5"/>
  <c r="A81" i="5"/>
  <c r="B81" i="5"/>
  <c r="D81" i="5"/>
  <c r="E81" i="5"/>
  <c r="F81" i="5"/>
  <c r="G81" i="5"/>
  <c r="H81" i="5"/>
  <c r="I81" i="5"/>
  <c r="A82" i="5"/>
  <c r="B82" i="5"/>
  <c r="D82" i="5"/>
  <c r="E82" i="5"/>
  <c r="F82" i="5"/>
  <c r="G82" i="5"/>
  <c r="H82" i="5"/>
  <c r="I82" i="5"/>
  <c r="A83" i="5"/>
  <c r="B83" i="5"/>
  <c r="D83" i="5"/>
  <c r="E83" i="5"/>
  <c r="F83" i="5"/>
  <c r="G83" i="5"/>
  <c r="H83" i="5"/>
  <c r="I83" i="5"/>
  <c r="A84" i="5"/>
  <c r="B84" i="5"/>
  <c r="D84" i="5"/>
  <c r="E84" i="5"/>
  <c r="F84" i="5"/>
  <c r="G84" i="5"/>
  <c r="H84" i="5"/>
  <c r="I84" i="5"/>
  <c r="A85" i="5"/>
  <c r="B85" i="5"/>
  <c r="D85" i="5"/>
  <c r="E85" i="5"/>
  <c r="F85" i="5"/>
  <c r="G85" i="5"/>
  <c r="H85" i="5"/>
  <c r="I85" i="5"/>
  <c r="A86" i="5"/>
  <c r="B86" i="5"/>
  <c r="D86" i="5"/>
  <c r="E86" i="5"/>
  <c r="F86" i="5"/>
  <c r="G86" i="5"/>
  <c r="H86" i="5"/>
  <c r="I86" i="5"/>
  <c r="A87" i="5"/>
  <c r="B87" i="5"/>
  <c r="D87" i="5"/>
  <c r="E87" i="5"/>
  <c r="F87" i="5"/>
  <c r="G87" i="5"/>
  <c r="H87" i="5"/>
  <c r="I87" i="5"/>
  <c r="A88" i="5"/>
  <c r="B88" i="5"/>
  <c r="D88" i="5"/>
  <c r="E88" i="5"/>
  <c r="F88" i="5"/>
  <c r="G88" i="5"/>
  <c r="H88" i="5"/>
  <c r="I88" i="5"/>
  <c r="A89" i="5"/>
  <c r="B89" i="5"/>
  <c r="D89" i="5"/>
  <c r="E89" i="5"/>
  <c r="F89" i="5"/>
  <c r="G89" i="5"/>
  <c r="H89" i="5"/>
  <c r="I89" i="5"/>
  <c r="A90" i="5"/>
  <c r="B90" i="5"/>
  <c r="D90" i="5"/>
  <c r="E90" i="5"/>
  <c r="F90" i="5"/>
  <c r="G90" i="5"/>
  <c r="H90" i="5"/>
  <c r="I90" i="5"/>
  <c r="A91" i="5"/>
  <c r="B91" i="5"/>
  <c r="D91" i="5"/>
  <c r="E91" i="5"/>
  <c r="F91" i="5"/>
  <c r="G91" i="5"/>
  <c r="H91" i="5"/>
  <c r="I91" i="5"/>
  <c r="A92" i="5"/>
  <c r="B92" i="5"/>
  <c r="D92" i="5"/>
  <c r="E92" i="5"/>
  <c r="F92" i="5"/>
  <c r="G92" i="5"/>
  <c r="H92" i="5"/>
  <c r="I92" i="5"/>
  <c r="A93" i="5"/>
  <c r="B93" i="5"/>
  <c r="D93" i="5"/>
  <c r="E93" i="5"/>
  <c r="F93" i="5"/>
  <c r="G93" i="5"/>
  <c r="H93" i="5"/>
  <c r="I93" i="5"/>
  <c r="A94" i="5"/>
  <c r="B94" i="5"/>
  <c r="D94" i="5"/>
  <c r="E94" i="5"/>
  <c r="F94" i="5"/>
  <c r="G94" i="5"/>
  <c r="H94" i="5"/>
  <c r="I94" i="5"/>
  <c r="B71" i="5"/>
  <c r="D71" i="5"/>
  <c r="E71" i="5"/>
  <c r="F71" i="5"/>
  <c r="G71" i="5"/>
  <c r="H71" i="5"/>
  <c r="I71" i="5"/>
  <c r="A71" i="5"/>
  <c r="A47" i="5"/>
  <c r="B47" i="5"/>
  <c r="D47" i="5"/>
  <c r="E47" i="5"/>
  <c r="F47" i="5"/>
  <c r="G47" i="5"/>
  <c r="H47" i="5"/>
  <c r="I47" i="5"/>
  <c r="A48" i="5"/>
  <c r="B48" i="5"/>
  <c r="D48" i="5"/>
  <c r="E48" i="5"/>
  <c r="F48" i="5"/>
  <c r="G48" i="5"/>
  <c r="H48" i="5"/>
  <c r="I48" i="5"/>
  <c r="A49" i="5"/>
  <c r="B49" i="5"/>
  <c r="D49" i="5"/>
  <c r="E49" i="5"/>
  <c r="F49" i="5"/>
  <c r="G49" i="5"/>
  <c r="H49" i="5"/>
  <c r="I49" i="5"/>
  <c r="A50" i="5"/>
  <c r="B50" i="5"/>
  <c r="D50" i="5"/>
  <c r="E50" i="5"/>
  <c r="F50" i="5"/>
  <c r="G50" i="5"/>
  <c r="H50" i="5"/>
  <c r="I50" i="5"/>
  <c r="A51" i="5"/>
  <c r="B51" i="5"/>
  <c r="D51" i="5"/>
  <c r="E51" i="5"/>
  <c r="F51" i="5"/>
  <c r="G51" i="5"/>
  <c r="H51" i="5"/>
  <c r="I51" i="5"/>
  <c r="A52" i="5"/>
  <c r="B52" i="5"/>
  <c r="D52" i="5"/>
  <c r="E52" i="5"/>
  <c r="F52" i="5"/>
  <c r="G52" i="5"/>
  <c r="H52" i="5"/>
  <c r="I52" i="5"/>
  <c r="A53" i="5"/>
  <c r="B53" i="5"/>
  <c r="D53" i="5"/>
  <c r="E53" i="5"/>
  <c r="F53" i="5"/>
  <c r="G53" i="5"/>
  <c r="H53" i="5"/>
  <c r="I53" i="5"/>
  <c r="A54" i="5"/>
  <c r="B54" i="5"/>
  <c r="D54" i="5"/>
  <c r="E54" i="5"/>
  <c r="F54" i="5"/>
  <c r="G54" i="5"/>
  <c r="H54" i="5"/>
  <c r="I54" i="5"/>
  <c r="A55" i="5"/>
  <c r="B55" i="5"/>
  <c r="D55" i="5"/>
  <c r="E55" i="5"/>
  <c r="F55" i="5"/>
  <c r="G55" i="5"/>
  <c r="H55" i="5"/>
  <c r="I55" i="5"/>
  <c r="A56" i="5"/>
  <c r="B56" i="5"/>
  <c r="D56" i="5"/>
  <c r="E56" i="5"/>
  <c r="F56" i="5"/>
  <c r="G56" i="5"/>
  <c r="H56" i="5"/>
  <c r="I56" i="5"/>
  <c r="A57" i="5"/>
  <c r="B57" i="5"/>
  <c r="D57" i="5"/>
  <c r="E57" i="5"/>
  <c r="F57" i="5"/>
  <c r="G57" i="5"/>
  <c r="H57" i="5"/>
  <c r="I57" i="5"/>
  <c r="A58" i="5"/>
  <c r="B58" i="5"/>
  <c r="D58" i="5"/>
  <c r="E58" i="5"/>
  <c r="F58" i="5"/>
  <c r="G58" i="5"/>
  <c r="H58" i="5"/>
  <c r="I58" i="5"/>
  <c r="A59" i="5"/>
  <c r="B59" i="5"/>
  <c r="D59" i="5"/>
  <c r="E59" i="5"/>
  <c r="F59" i="5"/>
  <c r="G59" i="5"/>
  <c r="H59" i="5"/>
  <c r="I59" i="5"/>
  <c r="A60" i="5"/>
  <c r="B60" i="5"/>
  <c r="D60" i="5"/>
  <c r="E60" i="5"/>
  <c r="F60" i="5"/>
  <c r="G60" i="5"/>
  <c r="H60" i="5"/>
  <c r="I60" i="5"/>
  <c r="A61" i="5"/>
  <c r="B61" i="5"/>
  <c r="D61" i="5"/>
  <c r="E61" i="5"/>
  <c r="F61" i="5"/>
  <c r="G61" i="5"/>
  <c r="H61" i="5"/>
  <c r="I61" i="5"/>
  <c r="A62" i="5"/>
  <c r="B62" i="5"/>
  <c r="D62" i="5"/>
  <c r="E62" i="5"/>
  <c r="F62" i="5"/>
  <c r="G62" i="5"/>
  <c r="H62" i="5"/>
  <c r="I62" i="5"/>
  <c r="A63" i="5"/>
  <c r="B63" i="5"/>
  <c r="D63" i="5"/>
  <c r="E63" i="5"/>
  <c r="F63" i="5"/>
  <c r="G63" i="5"/>
  <c r="H63" i="5"/>
  <c r="I63" i="5"/>
  <c r="A64" i="5"/>
  <c r="B64" i="5"/>
  <c r="D64" i="5"/>
  <c r="E64" i="5"/>
  <c r="F64" i="5"/>
  <c r="G64" i="5"/>
  <c r="H64" i="5"/>
  <c r="I64" i="5"/>
  <c r="A65" i="5"/>
  <c r="B65" i="5"/>
  <c r="D65" i="5"/>
  <c r="E65" i="5"/>
  <c r="F65" i="5"/>
  <c r="G65" i="5"/>
  <c r="H65" i="5"/>
  <c r="I65" i="5"/>
  <c r="A66" i="5"/>
  <c r="B66" i="5"/>
  <c r="D66" i="5"/>
  <c r="E66" i="5"/>
  <c r="F66" i="5"/>
  <c r="G66" i="5"/>
  <c r="H66" i="5"/>
  <c r="I66" i="5"/>
  <c r="A67" i="5"/>
  <c r="B67" i="5"/>
  <c r="D67" i="5"/>
  <c r="E67" i="5"/>
  <c r="F67" i="5"/>
  <c r="G67" i="5"/>
  <c r="H67" i="5"/>
  <c r="I67" i="5"/>
  <c r="A68" i="5"/>
  <c r="B68" i="5"/>
  <c r="D68" i="5"/>
  <c r="E68" i="5"/>
  <c r="F68" i="5"/>
  <c r="G68" i="5"/>
  <c r="H68" i="5"/>
  <c r="I68" i="5"/>
  <c r="A69" i="5"/>
  <c r="B69" i="5"/>
  <c r="D69" i="5"/>
  <c r="E69" i="5"/>
  <c r="F69" i="5"/>
  <c r="G69" i="5"/>
  <c r="H69" i="5"/>
  <c r="I69" i="5"/>
  <c r="B46" i="5"/>
  <c r="D46" i="5"/>
  <c r="E46" i="5"/>
  <c r="F46" i="5"/>
  <c r="G46" i="5"/>
  <c r="H46" i="5"/>
  <c r="I46" i="5"/>
  <c r="A46" i="5"/>
  <c r="A22" i="5"/>
  <c r="B22" i="5"/>
  <c r="D22" i="5"/>
  <c r="E22" i="5"/>
  <c r="F22" i="5"/>
  <c r="G22" i="5"/>
  <c r="H22" i="5"/>
  <c r="I22" i="5"/>
  <c r="A23" i="5"/>
  <c r="B23" i="5"/>
  <c r="D23" i="5"/>
  <c r="E23" i="5"/>
  <c r="F23" i="5"/>
  <c r="G23" i="5"/>
  <c r="H23" i="5"/>
  <c r="I23" i="5"/>
  <c r="A24" i="5"/>
  <c r="B24" i="5"/>
  <c r="D24" i="5"/>
  <c r="E24" i="5"/>
  <c r="F24" i="5"/>
  <c r="G24" i="5"/>
  <c r="H24" i="5"/>
  <c r="I24" i="5"/>
  <c r="A25" i="5"/>
  <c r="B25" i="5"/>
  <c r="D25" i="5"/>
  <c r="E25" i="5"/>
  <c r="F25" i="5"/>
  <c r="G25" i="5"/>
  <c r="H25" i="5"/>
  <c r="I25" i="5"/>
  <c r="A26" i="5"/>
  <c r="B26" i="5"/>
  <c r="D26" i="5"/>
  <c r="E26" i="5"/>
  <c r="F26" i="5"/>
  <c r="G26" i="5"/>
  <c r="H26" i="5"/>
  <c r="I26" i="5"/>
  <c r="A27" i="5"/>
  <c r="B27" i="5"/>
  <c r="D27" i="5"/>
  <c r="E27" i="5"/>
  <c r="F27" i="5"/>
  <c r="G27" i="5"/>
  <c r="H27" i="5"/>
  <c r="I27" i="5"/>
  <c r="A28" i="5"/>
  <c r="B28" i="5"/>
  <c r="D28" i="5"/>
  <c r="E28" i="5"/>
  <c r="F28" i="5"/>
  <c r="G28" i="5"/>
  <c r="H28" i="5"/>
  <c r="I28" i="5"/>
  <c r="A29" i="5"/>
  <c r="B29" i="5"/>
  <c r="D29" i="5"/>
  <c r="E29" i="5"/>
  <c r="F29" i="5"/>
  <c r="G29" i="5"/>
  <c r="H29" i="5"/>
  <c r="I29" i="5"/>
  <c r="A30" i="5"/>
  <c r="B30" i="5"/>
  <c r="D30" i="5"/>
  <c r="E30" i="5"/>
  <c r="F30" i="5"/>
  <c r="G30" i="5"/>
  <c r="H30" i="5"/>
  <c r="I30" i="5"/>
  <c r="A31" i="5"/>
  <c r="B31" i="5"/>
  <c r="D31" i="5"/>
  <c r="E31" i="5"/>
  <c r="F31" i="5"/>
  <c r="G31" i="5"/>
  <c r="H31" i="5"/>
  <c r="I31" i="5"/>
  <c r="A32" i="5"/>
  <c r="B32" i="5"/>
  <c r="D32" i="5"/>
  <c r="E32" i="5"/>
  <c r="F32" i="5"/>
  <c r="G32" i="5"/>
  <c r="H32" i="5"/>
  <c r="I32" i="5"/>
  <c r="A33" i="5"/>
  <c r="B33" i="5"/>
  <c r="D33" i="5"/>
  <c r="E33" i="5"/>
  <c r="F33" i="5"/>
  <c r="G33" i="5"/>
  <c r="H33" i="5"/>
  <c r="I33" i="5"/>
  <c r="A34" i="5"/>
  <c r="B34" i="5"/>
  <c r="D34" i="5"/>
  <c r="E34" i="5"/>
  <c r="F34" i="5"/>
  <c r="G34" i="5"/>
  <c r="H34" i="5"/>
  <c r="I34" i="5"/>
  <c r="A35" i="5"/>
  <c r="B35" i="5"/>
  <c r="D35" i="5"/>
  <c r="E35" i="5"/>
  <c r="F35" i="5"/>
  <c r="G35" i="5"/>
  <c r="H35" i="5"/>
  <c r="I35" i="5"/>
  <c r="A36" i="5"/>
  <c r="B36" i="5"/>
  <c r="D36" i="5"/>
  <c r="E36" i="5"/>
  <c r="F36" i="5"/>
  <c r="G36" i="5"/>
  <c r="H36" i="5"/>
  <c r="I36" i="5"/>
  <c r="A37" i="5"/>
  <c r="B37" i="5"/>
  <c r="D37" i="5"/>
  <c r="E37" i="5"/>
  <c r="F37" i="5"/>
  <c r="G37" i="5"/>
  <c r="H37" i="5"/>
  <c r="I37" i="5"/>
  <c r="A38" i="5"/>
  <c r="B38" i="5"/>
  <c r="D38" i="5"/>
  <c r="E38" i="5"/>
  <c r="F38" i="5"/>
  <c r="G38" i="5"/>
  <c r="H38" i="5"/>
  <c r="I38" i="5"/>
  <c r="A39" i="5"/>
  <c r="B39" i="5"/>
  <c r="D39" i="5"/>
  <c r="E39" i="5"/>
  <c r="F39" i="5"/>
  <c r="G39" i="5"/>
  <c r="H39" i="5"/>
  <c r="I39" i="5"/>
  <c r="A40" i="5"/>
  <c r="B40" i="5"/>
  <c r="D40" i="5"/>
  <c r="E40" i="5"/>
  <c r="F40" i="5"/>
  <c r="G40" i="5"/>
  <c r="H40" i="5"/>
  <c r="I40" i="5"/>
  <c r="A41" i="5"/>
  <c r="B41" i="5"/>
  <c r="D41" i="5"/>
  <c r="E41" i="5"/>
  <c r="F41" i="5"/>
  <c r="G41" i="5"/>
  <c r="H41" i="5"/>
  <c r="I41" i="5"/>
  <c r="A42" i="5"/>
  <c r="B42" i="5"/>
  <c r="D42" i="5"/>
  <c r="E42" i="5"/>
  <c r="F42" i="5"/>
  <c r="G42" i="5"/>
  <c r="H42" i="5"/>
  <c r="I42" i="5"/>
  <c r="A43" i="5"/>
  <c r="B43" i="5"/>
  <c r="D43" i="5"/>
  <c r="E43" i="5"/>
  <c r="F43" i="5"/>
  <c r="G43" i="5"/>
  <c r="H43" i="5"/>
  <c r="I43" i="5"/>
  <c r="A44" i="5"/>
  <c r="B44" i="5"/>
  <c r="D44" i="5"/>
  <c r="E44" i="5"/>
  <c r="F44" i="5"/>
  <c r="G44" i="5"/>
  <c r="H44" i="5"/>
  <c r="I44" i="5"/>
  <c r="B21" i="5"/>
  <c r="D21" i="5"/>
  <c r="E21" i="5"/>
  <c r="F21" i="5"/>
  <c r="G21" i="5"/>
  <c r="H21" i="5"/>
  <c r="I21" i="5"/>
  <c r="A21" i="5"/>
  <c r="A6" i="5"/>
  <c r="B6" i="5"/>
  <c r="D6" i="5"/>
  <c r="E6" i="5"/>
  <c r="F6" i="5"/>
  <c r="G6" i="5"/>
  <c r="H6" i="5"/>
  <c r="I6" i="5"/>
  <c r="A7" i="5"/>
  <c r="B7" i="5"/>
  <c r="D7" i="5"/>
  <c r="E7" i="5"/>
  <c r="F7" i="5"/>
  <c r="G7" i="5"/>
  <c r="H7" i="5"/>
  <c r="I7" i="5"/>
  <c r="A8" i="5"/>
  <c r="B8" i="5"/>
  <c r="D8" i="5"/>
  <c r="E8" i="5"/>
  <c r="F8" i="5"/>
  <c r="G8" i="5"/>
  <c r="H8" i="5"/>
  <c r="I8" i="5"/>
  <c r="A9" i="5"/>
  <c r="B9" i="5"/>
  <c r="D9" i="5"/>
  <c r="E9" i="5"/>
  <c r="F9" i="5"/>
  <c r="G9" i="5"/>
  <c r="H9" i="5"/>
  <c r="I9" i="5"/>
  <c r="A10" i="5"/>
  <c r="B10" i="5"/>
  <c r="D10" i="5"/>
  <c r="E10" i="5"/>
  <c r="F10" i="5"/>
  <c r="G10" i="5"/>
  <c r="H10" i="5"/>
  <c r="I10" i="5"/>
  <c r="A11" i="5"/>
  <c r="B11" i="5"/>
  <c r="D11" i="5"/>
  <c r="E11" i="5"/>
  <c r="F11" i="5"/>
  <c r="G11" i="5"/>
  <c r="H11" i="5"/>
  <c r="I11" i="5"/>
  <c r="A12" i="5"/>
  <c r="B12" i="5"/>
  <c r="D12" i="5"/>
  <c r="E12" i="5"/>
  <c r="F12" i="5"/>
  <c r="G12" i="5"/>
  <c r="H12" i="5"/>
  <c r="I12" i="5"/>
  <c r="A13" i="5"/>
  <c r="B13" i="5"/>
  <c r="D13" i="5"/>
  <c r="E13" i="5"/>
  <c r="F13" i="5"/>
  <c r="G13" i="5"/>
  <c r="H13" i="5"/>
  <c r="I13" i="5"/>
  <c r="A14" i="5"/>
  <c r="B14" i="5"/>
  <c r="D14" i="5"/>
  <c r="E14" i="5"/>
  <c r="F14" i="5"/>
  <c r="G14" i="5"/>
  <c r="H14" i="5"/>
  <c r="I14" i="5"/>
  <c r="A15" i="5"/>
  <c r="B15" i="5"/>
  <c r="D15" i="5"/>
  <c r="E15" i="5"/>
  <c r="F15" i="5"/>
  <c r="G15" i="5"/>
  <c r="H15" i="5"/>
  <c r="I15" i="5"/>
  <c r="A16" i="5"/>
  <c r="B16" i="5"/>
  <c r="D16" i="5"/>
  <c r="E16" i="5"/>
  <c r="F16" i="5"/>
  <c r="G16" i="5"/>
  <c r="H16" i="5"/>
  <c r="I16" i="5"/>
  <c r="A17" i="5"/>
  <c r="B17" i="5"/>
  <c r="D17" i="5"/>
  <c r="E17" i="5"/>
  <c r="F17" i="5"/>
  <c r="G17" i="5"/>
  <c r="H17" i="5"/>
  <c r="I17" i="5"/>
  <c r="A18" i="5"/>
  <c r="B18" i="5"/>
  <c r="D18" i="5"/>
  <c r="E18" i="5"/>
  <c r="F18" i="5"/>
  <c r="G18" i="5"/>
  <c r="H18" i="5"/>
  <c r="I18" i="5"/>
  <c r="A19" i="5"/>
  <c r="B19" i="5"/>
  <c r="D19" i="5"/>
  <c r="E19" i="5"/>
  <c r="F19" i="5"/>
  <c r="G19" i="5"/>
  <c r="H19" i="5"/>
  <c r="I19" i="5"/>
  <c r="B5" i="5"/>
  <c r="D5" i="5"/>
  <c r="E5" i="5"/>
  <c r="F5" i="5"/>
  <c r="G5" i="5"/>
  <c r="H5" i="5"/>
  <c r="I5" i="5"/>
  <c r="A5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36" i="5"/>
  <c r="J37" i="5"/>
  <c r="J38" i="5"/>
  <c r="J39" i="5"/>
  <c r="J40" i="5"/>
  <c r="J41" i="5"/>
  <c r="J42" i="5"/>
  <c r="J43" i="5"/>
  <c r="J44" i="5"/>
  <c r="J35" i="5"/>
  <c r="J34" i="5"/>
  <c r="J33" i="5"/>
  <c r="J32" i="5"/>
  <c r="J31" i="5"/>
  <c r="J30" i="5"/>
  <c r="J29" i="5"/>
  <c r="J28" i="5"/>
  <c r="J27" i="5"/>
  <c r="J26" i="5"/>
  <c r="J25" i="5"/>
  <c r="J23" i="5"/>
  <c r="J22" i="5"/>
  <c r="J21" i="5"/>
  <c r="J9" i="5"/>
  <c r="J10" i="5"/>
  <c r="J11" i="5"/>
  <c r="J12" i="5"/>
  <c r="J13" i="5"/>
  <c r="J14" i="5"/>
  <c r="J15" i="5"/>
  <c r="J16" i="5"/>
  <c r="J17" i="5"/>
  <c r="J18" i="5"/>
  <c r="J19" i="5"/>
  <c r="J8" i="5"/>
  <c r="J7" i="5"/>
  <c r="J6" i="5"/>
  <c r="J5" i="5"/>
  <c r="J347" i="4"/>
  <c r="J346" i="4"/>
  <c r="J345" i="4"/>
  <c r="J344" i="4"/>
  <c r="J343" i="4"/>
  <c r="J342" i="4"/>
  <c r="J341" i="4"/>
  <c r="J340" i="4"/>
  <c r="J339" i="4"/>
  <c r="J338" i="4"/>
  <c r="J337" i="4"/>
  <c r="J336" i="4"/>
  <c r="J335" i="4"/>
  <c r="J334" i="4"/>
  <c r="J333" i="4"/>
  <c r="J332" i="4"/>
  <c r="J331" i="4"/>
  <c r="J330" i="4"/>
  <c r="J329" i="4"/>
  <c r="J328" i="4"/>
  <c r="J327" i="4"/>
  <c r="J326" i="4"/>
  <c r="J325" i="4"/>
  <c r="J324" i="4"/>
  <c r="J322" i="4"/>
  <c r="J321" i="4"/>
  <c r="J320" i="4"/>
  <c r="J319" i="4"/>
  <c r="J318" i="4"/>
  <c r="J317" i="4"/>
  <c r="J316" i="4"/>
  <c r="J315" i="4"/>
  <c r="J314" i="4"/>
  <c r="J313" i="4"/>
  <c r="J312" i="4"/>
  <c r="J311" i="4"/>
  <c r="J310" i="4"/>
  <c r="J309" i="4"/>
  <c r="J308" i="4"/>
  <c r="J307" i="4"/>
  <c r="J306" i="4"/>
  <c r="J305" i="4"/>
  <c r="J304" i="4"/>
  <c r="J303" i="4"/>
  <c r="J302" i="4"/>
  <c r="J301" i="4"/>
  <c r="J300" i="4"/>
  <c r="J299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74" i="4"/>
  <c r="J270" i="4"/>
  <c r="J271" i="4"/>
  <c r="J272" i="4"/>
  <c r="J269" i="4"/>
  <c r="J268" i="4"/>
  <c r="J267" i="4"/>
  <c r="J266" i="4"/>
  <c r="J265" i="4"/>
  <c r="J264" i="4"/>
  <c r="J263" i="4"/>
  <c r="J262" i="4"/>
  <c r="J261" i="4"/>
  <c r="J260" i="4"/>
  <c r="J259" i="4"/>
  <c r="J258" i="4"/>
  <c r="J257" i="4"/>
  <c r="J256" i="4"/>
  <c r="J255" i="4"/>
  <c r="J254" i="4"/>
  <c r="J253" i="4"/>
  <c r="J252" i="4"/>
  <c r="J251" i="4"/>
  <c r="J250" i="4"/>
  <c r="J249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05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80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55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30" i="4"/>
  <c r="J6" i="4"/>
  <c r="J7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5" i="4"/>
  <c r="J24" i="5" l="1"/>
  <c r="J8" i="4"/>
</calcChain>
</file>

<file path=xl/sharedStrings.xml><?xml version="1.0" encoding="utf-8"?>
<sst xmlns="http://schemas.openxmlformats.org/spreadsheetml/2006/main" count="5188" uniqueCount="973">
  <si>
    <t>G Data</t>
  </si>
  <si>
    <t>License 1Y GD AV BUS -9</t>
  </si>
  <si>
    <t>License 4 &lt; x &lt; 10</t>
  </si>
  <si>
    <t xml:space="preserve">G Data AntiVirus Business </t>
  </si>
  <si>
    <t>License 1Y GD AV BUS 10+</t>
  </si>
  <si>
    <t>License 9 &lt; x &lt; 25</t>
  </si>
  <si>
    <t>License 1Y GD AV BUS 25+</t>
  </si>
  <si>
    <t>License 24 &lt; x &lt; 50</t>
  </si>
  <si>
    <t>License 1Y GD AV BUS 50+</t>
  </si>
  <si>
    <t>License 49 &lt; x &lt; 100</t>
  </si>
  <si>
    <t>License 1Y GD AV BUS 100+</t>
  </si>
  <si>
    <t>License 99 &lt; x &lt; 250</t>
  </si>
  <si>
    <t>License 1Y GD AV BUS 250+</t>
  </si>
  <si>
    <t>License 249 &lt; x &lt; 500</t>
  </si>
  <si>
    <t>License 1Y GD AV BUS 500+</t>
  </si>
  <si>
    <t>License 499 &lt; x &lt; 1000</t>
  </si>
  <si>
    <t>License 1Y GD AV BUS 1000+</t>
  </si>
  <si>
    <t>License 999 &lt; x &lt; 2500</t>
  </si>
  <si>
    <t>G Data AntiVirus Business</t>
  </si>
  <si>
    <t>License 2Y GD AV BUS -9</t>
  </si>
  <si>
    <t>License 2Y GD AV BUS 10+</t>
  </si>
  <si>
    <t>License 2Y GD AV BUS 25+</t>
  </si>
  <si>
    <t>License 2Y GD AV BUS 50+</t>
  </si>
  <si>
    <t>License 2Y GD AV BUS 100+</t>
  </si>
  <si>
    <t>License 2Y GD AV BUS 250+</t>
  </si>
  <si>
    <t>License 2Y GD AV BUS 500+</t>
  </si>
  <si>
    <t>License 2Y GD AV BUS 1000+</t>
  </si>
  <si>
    <t>License 3Y GD AV BUS -9</t>
  </si>
  <si>
    <t>License 3Y GD AV BUS 10+</t>
  </si>
  <si>
    <t>License 3Y GD AV BUS 25+</t>
  </si>
  <si>
    <t>License 3Y GD AV BUS 50+</t>
  </si>
  <si>
    <t>License 3Y GD AV BUS 100+</t>
  </si>
  <si>
    <t>License 3Y GD AV BUS 250+</t>
  </si>
  <si>
    <t>License 3Y GD AV BUS 500+</t>
  </si>
  <si>
    <t>License 3Y GD AV BUS 1000+</t>
  </si>
  <si>
    <t>Renewal  1Y GD AV BUS -9</t>
  </si>
  <si>
    <t>Renewal 4 &lt; x &lt; 10</t>
  </si>
  <si>
    <t>Renewal  1Y GD AV BUS 10+</t>
  </si>
  <si>
    <t>Renewal 9 &lt; x &lt; 25</t>
  </si>
  <si>
    <t>Renewal  1Y GD AV BUS 25+</t>
  </si>
  <si>
    <t>Renewal 24 &lt; x &lt; 50</t>
  </si>
  <si>
    <t>Renewal  1Y GD AV BUS 50+</t>
  </si>
  <si>
    <t>Renewal 49 &lt; x &lt; 100</t>
  </si>
  <si>
    <t>Renewal  1Y GD AV BUS 100+</t>
  </si>
  <si>
    <t>Renewal 99 &lt; x &lt; 250</t>
  </si>
  <si>
    <t>Renewal  1Y GD AV BUS 250+</t>
  </si>
  <si>
    <t>Renewal 249 &lt; x &lt; 500</t>
  </si>
  <si>
    <t>Renewal  1Y GD AV BUS 500+</t>
  </si>
  <si>
    <t>Renewal 499 &lt; x &lt; 1000</t>
  </si>
  <si>
    <t>Renewal  1Y GD AV BUS 1000+</t>
  </si>
  <si>
    <t>Renewal 999 &lt; x &lt; 2500</t>
  </si>
  <si>
    <t>Renewal  2Y GD AV BUS -9</t>
  </si>
  <si>
    <t>Renewal  2Y GD AV BUS 10+</t>
  </si>
  <si>
    <t>Renewal  2Y GD AV BUS 25+</t>
  </si>
  <si>
    <t>Renewal  2Y GD AV BUS 50+</t>
  </si>
  <si>
    <t>Renewal  2Y GD AV BUS 100+</t>
  </si>
  <si>
    <t>Renewal  3Y GD AV BUS -9</t>
  </si>
  <si>
    <t>Renewal  3Y GD AV BUS 10+</t>
  </si>
  <si>
    <t>Renewal  3Y GD AV BUS 25+</t>
  </si>
  <si>
    <t>Renewal  3Y GD AV BUS 50+</t>
  </si>
  <si>
    <t>Renewal  3Y GD AV BUS 100+</t>
  </si>
  <si>
    <t>License 1Y GD AV ENT -9</t>
  </si>
  <si>
    <t>License 1Y GD AV ENT 10+</t>
  </si>
  <si>
    <t>License 1Y GD AV ENT 25+</t>
  </si>
  <si>
    <t>License 1Y GD AV ENT 50+</t>
  </si>
  <si>
    <t>License 1Y GD AV ENT 100+</t>
  </si>
  <si>
    <t>License 1Y GD AV ENT 250+</t>
  </si>
  <si>
    <t>License 1Y GD AV ENT 500+</t>
  </si>
  <si>
    <t>License 1Y GD AV ENT 1000+</t>
  </si>
  <si>
    <t>License 2Y GD AV ENT -9</t>
  </si>
  <si>
    <t>License 2Y GD AV ENT 10+</t>
  </si>
  <si>
    <t>License 2Y GD AV ENT 25+</t>
  </si>
  <si>
    <t>License 2Y GD AV ENT 50+</t>
  </si>
  <si>
    <t>License 2Y GD AV ENT 100+</t>
  </si>
  <si>
    <t>License 2Y GD AV ENT 250+</t>
  </si>
  <si>
    <t>License 2Y GD AV ENT 500+</t>
  </si>
  <si>
    <t>License 2Y GD AV ENT 1000+</t>
  </si>
  <si>
    <t>License 3Y GD AV ENT -9</t>
  </si>
  <si>
    <t>License 3Y GD AV ENT 10+</t>
  </si>
  <si>
    <t>License 3Y GD AV ENT 25+</t>
  </si>
  <si>
    <t>License 3Y GD AV ENT 50+</t>
  </si>
  <si>
    <t>License 3Y GD AV ENT 100+</t>
  </si>
  <si>
    <t>License 3Y GD AV ENT 250+</t>
  </si>
  <si>
    <t>License 3Y GD AV ENT 500+</t>
  </si>
  <si>
    <t>License 3Y GD AV ENT 1000+</t>
  </si>
  <si>
    <t>Renewal 1Y GD AV ENT -9</t>
  </si>
  <si>
    <t>Renewal 1Y GD AV ENT 10+</t>
  </si>
  <si>
    <t>Renewal 1Y GD AV ENT 25+</t>
  </si>
  <si>
    <t>Renewal 1Y GD AV ENT 50+</t>
  </si>
  <si>
    <t>Renewal 1Y GD AV ENT 100+</t>
  </si>
  <si>
    <t>Renewal 1Y GD AV ENT 250+</t>
  </si>
  <si>
    <t>Renewal 1Y GD AV ENT 500+</t>
  </si>
  <si>
    <t>Renewal 1Y GD AV ENT 1000+</t>
  </si>
  <si>
    <t>Renewal  2Y GD AV ENT -9</t>
  </si>
  <si>
    <t>Renewal  2Y GD AV ENT 10+</t>
  </si>
  <si>
    <t>Renewal  2Y GD AV ENT 25+</t>
  </si>
  <si>
    <t>Renewal  2Y GD AV ENT 50+</t>
  </si>
  <si>
    <t>Renewal  2Y GD AV ENT 100+</t>
  </si>
  <si>
    <t>Renewal  2Y GD AV ENT 250+</t>
  </si>
  <si>
    <t>Renewal  2Y GD AV ENT 500+</t>
  </si>
  <si>
    <t>Renewal  2Y GD AV ENT 1000+</t>
  </si>
  <si>
    <t>Renewal 3Y GD AV ENT -9</t>
  </si>
  <si>
    <t>Renewal 3Y GD AV ENT 10+</t>
  </si>
  <si>
    <t>Renewal 3Y GD AV ENT 25+</t>
  </si>
  <si>
    <t>Renewal 3Y GD AV ENT 50+</t>
  </si>
  <si>
    <t>Renewal 3Y GD AV ENT 100+</t>
  </si>
  <si>
    <t>Renewal 3Y GD AV ENT 250+</t>
  </si>
  <si>
    <t>Renewal 3Y GD AV ENT 500+</t>
  </si>
  <si>
    <t>Renewal 3Y GD AV ENT 1000+</t>
  </si>
  <si>
    <t>G Data ClientSecurity Business</t>
  </si>
  <si>
    <t>License 1Y GD CS BUS -9</t>
  </si>
  <si>
    <t>License 1Y GD CS BUS 10+</t>
  </si>
  <si>
    <t>License 1Y GD CS BUS 25+</t>
  </si>
  <si>
    <t>License 1Y GD CS BUS 50+</t>
  </si>
  <si>
    <t>License 1Y GD CS BUS 100+</t>
  </si>
  <si>
    <t>License 1Y GD CS BUS 250+</t>
  </si>
  <si>
    <t>License 1Y GD CS BUS 500+</t>
  </si>
  <si>
    <t>License 1Y GD CS BUS 1000+</t>
  </si>
  <si>
    <t>License 2Y GD CS BUS -9</t>
  </si>
  <si>
    <t>License 2Y GD CS BUS 10+</t>
  </si>
  <si>
    <t>License 2Y GD CS BUS 25+</t>
  </si>
  <si>
    <t>License 2Y GD CS BUS 50+</t>
  </si>
  <si>
    <t>License 2Y GD CS BUS 100+</t>
  </si>
  <si>
    <t>License 2Y GD CS BUS 250+</t>
  </si>
  <si>
    <t>License 2Y GD CS BUS 500+</t>
  </si>
  <si>
    <t>License 2Y GD CS BUS 1000+</t>
  </si>
  <si>
    <t>License 3Y GD CS BUS -9</t>
  </si>
  <si>
    <t>License 3Y GD CS BUS 10+</t>
  </si>
  <si>
    <t>License 3Y GD CS BUS 25+</t>
  </si>
  <si>
    <t>License 3Y GD CS BUS 50+</t>
  </si>
  <si>
    <t>License 3Y GD CS BUS 100+</t>
  </si>
  <si>
    <t>License 3Y GD CS BUS 250+</t>
  </si>
  <si>
    <t>License 3Y GD CS BUS 500+</t>
  </si>
  <si>
    <t>License 3Y GD CS BUS 1000+</t>
  </si>
  <si>
    <t>Renewal 1Y GD CS BUS -9</t>
  </si>
  <si>
    <t>Renewal 1Y GD CS BUS 10+</t>
  </si>
  <si>
    <t>Renewal 1Y GD CS BUS 25+</t>
  </si>
  <si>
    <t>Renewal 1Y GD CS BUS 50+</t>
  </si>
  <si>
    <t>Renewal 1Y GD CS BUS 100+</t>
  </si>
  <si>
    <t>Renewal 1Y GD CS BUS 250+</t>
  </si>
  <si>
    <t>Renewal 1Y GD CS BUS 500+</t>
  </si>
  <si>
    <t>Renewal 1Y GD CS BUS 1000+</t>
  </si>
  <si>
    <t>Renewal 2Y GD CS BUS -9</t>
  </si>
  <si>
    <t>Renewal 2Y GD CS BUS 10+</t>
  </si>
  <si>
    <t>Renewal 2Y GD CS BUS 25+</t>
  </si>
  <si>
    <t>Renewal 2Y GD CS BUS 50+</t>
  </si>
  <si>
    <t>Renewal 2Y GD CS BUS 100+</t>
  </si>
  <si>
    <t>Renewal 2Y GD CS BUS 250+</t>
  </si>
  <si>
    <t>Renewal 2Y GD CS BUS 500+</t>
  </si>
  <si>
    <t>Renewal 2Y GD CS BUS 1000+</t>
  </si>
  <si>
    <t>Renewal 3Y GD CS BUS -9</t>
  </si>
  <si>
    <t>Renewal 3Y GD CS BUS 10+</t>
  </si>
  <si>
    <t>Renewal 3Y GD CS BUS 25+</t>
  </si>
  <si>
    <t>Renewal 3Y GD CS BUS 50+</t>
  </si>
  <si>
    <t>Renewal 3Y GD CS BUS 100+</t>
  </si>
  <si>
    <t>Renewal 3Y GD CS BUS 250+</t>
  </si>
  <si>
    <t>Renewal 3Y GD CS BUS 500+</t>
  </si>
  <si>
    <t>Renewal 3Y GD CS BUS 1000+</t>
  </si>
  <si>
    <t>License 1Y GD CS ENT -9</t>
  </si>
  <si>
    <t>License 1Y GD CS ENT 10+</t>
  </si>
  <si>
    <t>License 1Y GD CS ENT 25+</t>
  </si>
  <si>
    <t>License 1Y GD CS ENT 50+</t>
  </si>
  <si>
    <t>License 1Y GD CS ENT 100+</t>
  </si>
  <si>
    <t>License 1Y GD CS ENT 250+</t>
  </si>
  <si>
    <t>License 1Y GD CS ENT 500+</t>
  </si>
  <si>
    <t>License 1Y GD CS ENT 1000+</t>
  </si>
  <si>
    <t>License 2Y GD CS ENT -9</t>
  </si>
  <si>
    <t>License 2Y GD CS ENT 10+</t>
  </si>
  <si>
    <t>License 2Y GD CS ENT 25+</t>
  </si>
  <si>
    <t>License 2Y GD CS ENT 50+</t>
  </si>
  <si>
    <t>License 2Y GD CS ENT 100+</t>
  </si>
  <si>
    <t>License 2Y GD CS ENT 250+</t>
  </si>
  <si>
    <t>License 2Y GD CS ENT 500+</t>
  </si>
  <si>
    <t>License 2Y GD CS ENT 1000+</t>
  </si>
  <si>
    <t>License 3Y GD CS ENT -9</t>
  </si>
  <si>
    <t>License 3Y GD CS ENT 10+</t>
  </si>
  <si>
    <t>License 3Y GD CS ENT 25+</t>
  </si>
  <si>
    <t>License 3Y GD CS ENT 50+</t>
  </si>
  <si>
    <t>License 3Y GD CS ENT 100+</t>
  </si>
  <si>
    <t>License 3Y GD CS ENT 250+</t>
  </si>
  <si>
    <t>License 3Y GD CS ENT 500+</t>
  </si>
  <si>
    <t>License 3Y GD CS ENT 1000+</t>
  </si>
  <si>
    <t>Renewal 1Y GD CS ENT -9</t>
  </si>
  <si>
    <t>Renewal 1Y GD CS ENT 10+</t>
  </si>
  <si>
    <t>Renewal 1Y GD CS ENT 25+</t>
  </si>
  <si>
    <t>Renewal 1Y GD CS ENT 50+</t>
  </si>
  <si>
    <t>Renewal 1Y GD CS ENT 100+</t>
  </si>
  <si>
    <t>Renewal 1Y GD CS ENT 250+</t>
  </si>
  <si>
    <t>Renewal 1Y GD CS ENT 500+</t>
  </si>
  <si>
    <t>Renewal 1Y GD CS ENT 1000+</t>
  </si>
  <si>
    <t>Renewal 2Y GD CS ENT -9</t>
  </si>
  <si>
    <t>Renewal 2Y GD CS ENT 10+</t>
  </si>
  <si>
    <t>Renewal 2Y GD CS ENT 25+</t>
  </si>
  <si>
    <t>Renewal 2Y GD CS ENT 50+</t>
  </si>
  <si>
    <t>Renewal 2Y GD CS ENT 100+</t>
  </si>
  <si>
    <t>Renewal 2Y GD CS ENT 250+</t>
  </si>
  <si>
    <t>Renewal 2Y GD CS ENT 500+</t>
  </si>
  <si>
    <t>Renewal 2Y GD CS ENT 1000+</t>
  </si>
  <si>
    <t>Renewal 3Y GD CS ENT -9</t>
  </si>
  <si>
    <t>Renewal 3Y GD CS ENT 10+</t>
  </si>
  <si>
    <t>Renewal 3Y GD CS ENT 25+</t>
  </si>
  <si>
    <t>Renewal 3Y GD CS ENT 50+</t>
  </si>
  <si>
    <t>Renewal 3Y GD CS ENT 100+</t>
  </si>
  <si>
    <t>Renewal 3Y GD CS ENT 250+</t>
  </si>
  <si>
    <t>Renewal 3Y GD CS ENT 500+</t>
  </si>
  <si>
    <t>Renewal 3Y GD CS ENT 1000+</t>
  </si>
  <si>
    <t>G Data EndpointProtection Business</t>
  </si>
  <si>
    <t>License 1Y GD EP BUS -9</t>
  </si>
  <si>
    <t>License 1Y GD EP BUS 10+</t>
  </si>
  <si>
    <t>License 1Y GD EP BUS 25+</t>
  </si>
  <si>
    <t>License 1Y GD EP BUS 50+</t>
  </si>
  <si>
    <t>License 1Y GD EP BUS 100+</t>
  </si>
  <si>
    <t>License 1Y GD EP BUS 250+</t>
  </si>
  <si>
    <t>License 1Y GD EP BUS 500+</t>
  </si>
  <si>
    <t>License 1Y GD EP BUS 1000+</t>
  </si>
  <si>
    <t>License 2Y GD EP BUS -9</t>
  </si>
  <si>
    <t>License 2Y GD EP BUS 10+</t>
  </si>
  <si>
    <t>License 2Y GD EP BUS 25+</t>
  </si>
  <si>
    <t>License 2Y GD EP BUS 50+</t>
  </si>
  <si>
    <t>License 2Y GD EP BUS 100+</t>
  </si>
  <si>
    <t>License 2Y GD EP BUS 250+</t>
  </si>
  <si>
    <t>License 2Y GD EP BUS 500+</t>
  </si>
  <si>
    <t>License 2Y GD EP BUS 1000+</t>
  </si>
  <si>
    <t>License 3Y GD EP BUS -9</t>
  </si>
  <si>
    <t>License 3Y GD EP BUS 10+</t>
  </si>
  <si>
    <t>License 3Y GD EP BUS 25+</t>
  </si>
  <si>
    <t>License 3Y GD EP BUS 50+</t>
  </si>
  <si>
    <t>License 3Y GD EP BUS 100+</t>
  </si>
  <si>
    <t>License 3Y GD EP BUS 250+</t>
  </si>
  <si>
    <t>License 3Y GD EP BUS 500+</t>
  </si>
  <si>
    <t>License 3Y GD EP BUS 1000+</t>
  </si>
  <si>
    <t>Renewal 1Y GD EP BUS -9</t>
  </si>
  <si>
    <t>Renewal 1Y GD EP BUS 10+</t>
  </si>
  <si>
    <t>Renewal 1Y GD EP BUS 25+</t>
  </si>
  <si>
    <t>Renewal 1Y GD EP BUS 50+</t>
  </si>
  <si>
    <t>Renewal 1Y GD EP BUS 100+</t>
  </si>
  <si>
    <t>Renewal 1Y GD EP BUS 250+</t>
  </si>
  <si>
    <t>Renewal 1Y GD EP BUS 500+</t>
  </si>
  <si>
    <t>Renewal 1Y GD EP BUS 1000+</t>
  </si>
  <si>
    <t>Renewal 2Y GD EP BUS -9</t>
  </si>
  <si>
    <t>Renewal 2Y GD EP BUS 10+</t>
  </si>
  <si>
    <t>Renewal 2Y GD EP BUS 25+</t>
  </si>
  <si>
    <t>Renewal 2Y GD EP BUS 50+</t>
  </si>
  <si>
    <t>Renewal 2Y GD EP BUS 100+</t>
  </si>
  <si>
    <t>Renewal 2Y GD EP BUS 250+</t>
  </si>
  <si>
    <t>Renewal 2Y GD EP BUS 500+</t>
  </si>
  <si>
    <t>Renewal 2Y GD EP BUS 1000+</t>
  </si>
  <si>
    <t>Renewal 3Y GD EP BUS -9</t>
  </si>
  <si>
    <t>Renewal 3Y GD EP BUS 10+</t>
  </si>
  <si>
    <t>Renewal 3Y GD EP BUS 25+</t>
  </si>
  <si>
    <t>Renewal 3Y GD EP BUS 50+</t>
  </si>
  <si>
    <t>Renewal 3Y GD EP BUS 100+</t>
  </si>
  <si>
    <t>Renewal 3Y GD EP BUS 250+</t>
  </si>
  <si>
    <t>Renewal 3Y GD EP BUS 500+</t>
  </si>
  <si>
    <t>Renewal 3Y GD EP BUS 1000+</t>
  </si>
  <si>
    <t>License 1Y GD EP ENT -9</t>
  </si>
  <si>
    <t>License 1Y GD EP ENT 10+</t>
  </si>
  <si>
    <t>License 1Y GD EP ENT 25+</t>
  </si>
  <si>
    <t>License 1Y GD EP ENT 50+</t>
  </si>
  <si>
    <t>License 1Y GD EP ENT 100+</t>
  </si>
  <si>
    <t>License 1Y GD EP ENT 250+</t>
  </si>
  <si>
    <t>License 1Y GD EP ENT 500+</t>
  </si>
  <si>
    <t>License 1Y GD EP ENT 1000+</t>
  </si>
  <si>
    <t>License 2Y GD EP ENT -9</t>
  </si>
  <si>
    <t>License 2Y GD EP ENT 10+</t>
  </si>
  <si>
    <t>License 2Y GD EP ENT 25+</t>
  </si>
  <si>
    <t>License 2Y GD EP ENT 50+</t>
  </si>
  <si>
    <t>License 2Y GD EP ENT 100+</t>
  </si>
  <si>
    <t>License 2Y GD EP ENT 250+</t>
  </si>
  <si>
    <t>License 2Y GD EP ENT 500+</t>
  </si>
  <si>
    <t>License 2Y GD EP ENT 1000+</t>
  </si>
  <si>
    <t>License 3Y GD EP ENT -9</t>
  </si>
  <si>
    <t>License 3Y GD EP ENT 10+</t>
  </si>
  <si>
    <t>License 3Y GD EP ENT 25+</t>
  </si>
  <si>
    <t>License 3Y GD EP ENT 50+</t>
  </si>
  <si>
    <t>License 3Y GD EP ENT 100+</t>
  </si>
  <si>
    <t>License 3Y GD EP ENT 250+</t>
  </si>
  <si>
    <t>License 3Y GD EP ENT 500+</t>
  </si>
  <si>
    <t>License 3Y GD EP ENT 1000+</t>
  </si>
  <si>
    <t>Renewal 1Y GD EP ENT -9</t>
  </si>
  <si>
    <t>Renewal 1Y GD EP ENT 10+</t>
  </si>
  <si>
    <t>Renewal 1Y GD EP ENT 25+</t>
  </si>
  <si>
    <t>Renewal 1Y GD EP ENT 50+</t>
  </si>
  <si>
    <t>Renewal 1Y GD EP ENT 100+</t>
  </si>
  <si>
    <t>Renewal 1Y GD EP ENT 250+</t>
  </si>
  <si>
    <t>Renewal 1Y GD EP ENT 500+</t>
  </si>
  <si>
    <t>Renewal 1Y GD EP ENT 1000+</t>
  </si>
  <si>
    <t>Renewal 2Y GD EP ENT -9</t>
  </si>
  <si>
    <t>Renewal 2Y GD EP ENT 10+</t>
  </si>
  <si>
    <t>Renewal 2Y GD EP ENT 25+</t>
  </si>
  <si>
    <t>Renewal 2Y GD EP ENT 50+</t>
  </si>
  <si>
    <t>Renewal 2Y GD EP ENT 100+</t>
  </si>
  <si>
    <t>Renewal 2Y GD EP ENT 250+</t>
  </si>
  <si>
    <t>Renewal 2Y GD EP ENT 500+</t>
  </si>
  <si>
    <t>Renewal 2Y GD EP ENT 1000+</t>
  </si>
  <si>
    <t>Renewal 3Y GD EP ENT -9</t>
  </si>
  <si>
    <t>Renewal 3Y GD EP ENT 10+</t>
  </si>
  <si>
    <t>Renewal 3Y GD EP ENT 25+</t>
  </si>
  <si>
    <t>Renewal 3Y GD EP ENT 50+</t>
  </si>
  <si>
    <t>Renewal 3Y GD EP ENT 100+</t>
  </si>
  <si>
    <t>Renewal 3Y GD EP ENT 250+</t>
  </si>
  <si>
    <t>Renewal 3Y GD EP ENT 500+</t>
  </si>
  <si>
    <t>Renewal 3Y GD EP ENT 1000+</t>
  </si>
  <si>
    <t xml:space="preserve">G Data MailSecurity </t>
  </si>
  <si>
    <t>License 1Y GD MS 10+</t>
  </si>
  <si>
    <t>License 1Y GD MS 25+</t>
  </si>
  <si>
    <t>License 1Y GD MS 50+</t>
  </si>
  <si>
    <t>License 1Y GD MS 100+</t>
  </si>
  <si>
    <t>License 1Y GD MS 250+</t>
  </si>
  <si>
    <t>License 1Y GD MS 500+</t>
  </si>
  <si>
    <t>License 1Y GD MS 1000+</t>
  </si>
  <si>
    <t>License 2Y GD MS 10+</t>
  </si>
  <si>
    <t>License 2Y GD MS 25+</t>
  </si>
  <si>
    <t>License 2Y GD MS 50+</t>
  </si>
  <si>
    <t>License 2Y GD MS 100+</t>
  </si>
  <si>
    <t>License 2Y GD MS 250+</t>
  </si>
  <si>
    <t>License 2Y GD MS 500+</t>
  </si>
  <si>
    <t>License 2Y GD MS 1000+</t>
  </si>
  <si>
    <t>License 3Y GD MS 10+</t>
  </si>
  <si>
    <t>License 3Y GD MS 25+</t>
  </si>
  <si>
    <t>License 3Y GD MS 50+</t>
  </si>
  <si>
    <t>License 3Y GD MS 100+</t>
  </si>
  <si>
    <t>License 3Y GD MS 250+</t>
  </si>
  <si>
    <t>License 3Y GD MS 500+</t>
  </si>
  <si>
    <t>License 3Y GD MS 1000+</t>
  </si>
  <si>
    <t>Renweal 1Y GD MS 10+</t>
  </si>
  <si>
    <t>Renewal 1Y GD MS 25+</t>
  </si>
  <si>
    <t>Renewal 1Y GD MS 50+</t>
  </si>
  <si>
    <t>Renewal 1Y GD MS 100+</t>
  </si>
  <si>
    <t>Renewal 1Y GD MS 250+</t>
  </si>
  <si>
    <t>Renewal 1Y GD MS 500+</t>
  </si>
  <si>
    <t>Renewal 1Y GD MS 1000+</t>
  </si>
  <si>
    <t>Renewal 2Y GD MS 10+</t>
  </si>
  <si>
    <t>Renewal 2Y GD MS 25+</t>
  </si>
  <si>
    <t>Renewal 2Y GD MS 50+</t>
  </si>
  <si>
    <t>Renewal 2Y GD MS 100+</t>
  </si>
  <si>
    <t>Renewal 2Y GD MS 250+</t>
  </si>
  <si>
    <t>Renewal 2Y GD MS 500+</t>
  </si>
  <si>
    <t>Renewal 2Y GD MS 1000+</t>
  </si>
  <si>
    <t>Renewal 3Y GD MS 10+</t>
  </si>
  <si>
    <t>Renewal 3Y GD MS 25+</t>
  </si>
  <si>
    <t>Renewal 3Y GD MS 50+</t>
  </si>
  <si>
    <t>Renewal 3Y GD MS 100+</t>
  </si>
  <si>
    <t>Renewal 3Y GD MS 250+</t>
  </si>
  <si>
    <t>Renewal 3Y GD MS 500+</t>
  </si>
  <si>
    <t>Renewal 3Y GD MS 1000+</t>
  </si>
  <si>
    <t>License</t>
  </si>
  <si>
    <t>Renewal</t>
  </si>
  <si>
    <t>G Data AntiVirus</t>
  </si>
  <si>
    <t>G Data InternetSecurity</t>
  </si>
  <si>
    <t>G Data TotalProtection</t>
  </si>
  <si>
    <t>License UNI 1Y GD EP ENT S</t>
  </si>
  <si>
    <t>License UNI 1Y GD EP ENT M</t>
  </si>
  <si>
    <t>License UNI 1Y GD EP ENT L</t>
  </si>
  <si>
    <t>License UNI 2Y GD EP ENT S</t>
  </si>
  <si>
    <t>License UNI 2Y GD EP ENT M</t>
  </si>
  <si>
    <t>License UNI 2Y GD EP ENT L</t>
  </si>
  <si>
    <t>License UNI 3Y GD EP ENT S</t>
  </si>
  <si>
    <t>License UNI 3Y GD EP ENT M</t>
  </si>
  <si>
    <t>License UNI 3Y GD EP ENT L</t>
  </si>
  <si>
    <t>Renewal UNI 1Y GD EP ENT S</t>
  </si>
  <si>
    <t>Renewal UNI 1Y GD EP ENT M</t>
  </si>
  <si>
    <t>Renewal UNI 1Y GD EP ENT L</t>
  </si>
  <si>
    <t>Renewal UNI 2Y GD EP ENT S</t>
  </si>
  <si>
    <t>Renewal UNI 2Y GD EP ENT M</t>
  </si>
  <si>
    <t>Renewal UNI 2Y GD EP ENT L</t>
  </si>
  <si>
    <t>Renewal UNI 3Y GD EP ENT S</t>
  </si>
  <si>
    <t>Renewal UNI 3Y GD EP ENT M</t>
  </si>
  <si>
    <t>Renewal UNI 3Y GD EP ENT L</t>
  </si>
  <si>
    <t>Renewal UNI 2500&lt; x &lt; 10000</t>
  </si>
  <si>
    <t>Renewal UNI &gt; 10.000</t>
  </si>
  <si>
    <t>Renewal UNI &lt; 2.500</t>
  </si>
  <si>
    <t>License UNI &lt; 2.500</t>
  </si>
  <si>
    <t>License UNI 2500&lt; x &lt; 10000</t>
  </si>
  <si>
    <t>License UNI &gt; 10.000</t>
  </si>
  <si>
    <t>License GOV 1Y GD AV BUS</t>
  </si>
  <si>
    <t>License GOV 2Y GD AV BUS</t>
  </si>
  <si>
    <t>License GOV 3Y GD AV BUS</t>
  </si>
  <si>
    <t>Renewal GOV 1Y GD AV BUS</t>
  </si>
  <si>
    <t>Renewal GOV 2Y AV BUS</t>
  </si>
  <si>
    <t>Renewal GOV 3Y AV BUS</t>
  </si>
  <si>
    <t>License GOV 1Y GD AV ENT</t>
  </si>
  <si>
    <t>License GOV 2Y GD AV ENT</t>
  </si>
  <si>
    <t>License GOV 3Y GD AV ENT</t>
  </si>
  <si>
    <t>Renewal GOV 1Y GD AV ENT</t>
  </si>
  <si>
    <t>Renewal GOV 2Y GD AV ENT</t>
  </si>
  <si>
    <t>Renewal GOV 3Y GD AV ENT</t>
  </si>
  <si>
    <t>License GOV 1Y GD CS BUS</t>
  </si>
  <si>
    <t>License GOV 2Y GD CS BUS</t>
  </si>
  <si>
    <t>License GOV 3Y GD CS BUS</t>
  </si>
  <si>
    <t>Renewal GOV 1Y GD CS BUS</t>
  </si>
  <si>
    <t>Renewal GOV 2Y GD CS BUS</t>
  </si>
  <si>
    <t>Renewal GOV 3Y GD CS BUS</t>
  </si>
  <si>
    <t>License GOV 1Y GD CS ENT</t>
  </si>
  <si>
    <t>License GOV 2Y GD CS ENT</t>
  </si>
  <si>
    <t>License GOV 3Y GD CS ENT</t>
  </si>
  <si>
    <t>Renewal GOV 1Y GD CS ENT</t>
  </si>
  <si>
    <t>Renewal GOV 2Y GD CS ENT</t>
  </si>
  <si>
    <t>Renewal GOV 3Y GD CS ENT</t>
  </si>
  <si>
    <t>License GOV 1Y GD EP BUS</t>
  </si>
  <si>
    <t>License GOV 2Y GD EP BUS</t>
  </si>
  <si>
    <t>License GOV 3Y GD EP BUS</t>
  </si>
  <si>
    <t>Renewal GOV 1Y GD EP BUS</t>
  </si>
  <si>
    <t>Renewal GOV 2Y GD EP BUS</t>
  </si>
  <si>
    <t>Renewal GOV 3Y GD EP BUS</t>
  </si>
  <si>
    <t>Licence GOV 1Y GD EP ENT</t>
  </si>
  <si>
    <t>Licence GOV 2Y GD EP ENT</t>
  </si>
  <si>
    <t>Licence GOV 3Y GD EP ENT</t>
  </si>
  <si>
    <t>Renewal GOV 1Y GD EP ENT</t>
  </si>
  <si>
    <t>Renewal GOV 2Y GD EP ENT</t>
  </si>
  <si>
    <t>Renewal GOV 3Y GD EP ENT</t>
  </si>
  <si>
    <t>Licence GOV 2Y GD MS</t>
  </si>
  <si>
    <t>Renewal GOV 1Y GD MS</t>
  </si>
  <si>
    <t>Renewal GOV 2Y GD MS</t>
  </si>
  <si>
    <t>Renewal GOV 3Y GD MS</t>
  </si>
  <si>
    <t>Licence GOV</t>
  </si>
  <si>
    <t>Renewal GOV</t>
  </si>
  <si>
    <t>License GOV</t>
  </si>
  <si>
    <t>Upgrade GD AVB-CSB</t>
  </si>
  <si>
    <t>Upgrade GD AVB-EPB</t>
  </si>
  <si>
    <t>Upgrade GD AVB-AVE</t>
  </si>
  <si>
    <t>Upgrade GD AVB-CSE</t>
  </si>
  <si>
    <t>Upgrade GD AVB-EPE</t>
  </si>
  <si>
    <t>Upgrade GD CSB-EPB</t>
  </si>
  <si>
    <t>Upgrade GD CSB-CSE</t>
  </si>
  <si>
    <t>Upgrade GD CSB-EPE</t>
  </si>
  <si>
    <t>Upgrade GD EPB-EPE</t>
  </si>
  <si>
    <t>Upgrade GD AVE-CSB</t>
  </si>
  <si>
    <t>Upgrade GD AVE-CSE</t>
  </si>
  <si>
    <t>Upgrade GD AVE-EPB</t>
  </si>
  <si>
    <t>Upgrade GD AVE-EPE</t>
  </si>
  <si>
    <t>Upgrade GD CSE-EPB</t>
  </si>
  <si>
    <t>Upgrade GD CSE-EPE</t>
  </si>
  <si>
    <t>Upgrade License</t>
  </si>
  <si>
    <t>Upgrade GD AV BUS -&gt; GD Client Security Business</t>
  </si>
  <si>
    <t>Upgrade GD AV BUS -&gt; GD EndpointProtection Business</t>
  </si>
  <si>
    <t>Upgrade GD CS BUS -&gt; GD EndpointProtection Business</t>
  </si>
  <si>
    <t>Upgrade GD AV ENT -&gt; GD Client Security Business</t>
  </si>
  <si>
    <t>Upgrade GD AV ENT -&gt; GDEndpointProtection Business</t>
  </si>
  <si>
    <t>Upgrade GD CS ENT -&gt; GD EndpointProtection Business</t>
  </si>
  <si>
    <t>License 249 &lt; x &lt; 499</t>
  </si>
  <si>
    <t>G Data Lizenzpreise Business Security EDU &amp; GOV</t>
  </si>
  <si>
    <t>Renewal  2Y GD AV BUS 250+</t>
  </si>
  <si>
    <t>Renewal  2Y GD AV BUS 500+</t>
  </si>
  <si>
    <t>Renewal  2Y GD AV BUS 1000+</t>
  </si>
  <si>
    <t>Renewal  3Y GD AV BUS 250+</t>
  </si>
  <si>
    <t>Renewal  3Y GD AV BUS 500+</t>
  </si>
  <si>
    <t>Renewal  3Y GD AV BUS 1000+</t>
  </si>
  <si>
    <t>License GOV 1Y GD MS</t>
  </si>
  <si>
    <t>EAN</t>
  </si>
  <si>
    <t>G Data MobileSecurity 2 for Android</t>
  </si>
  <si>
    <t>License 100 +</t>
  </si>
  <si>
    <t>License 1Y GD MOBs 2 -9</t>
  </si>
  <si>
    <t>License 1Y GD MOBs 2 10+</t>
  </si>
  <si>
    <t>License 1Y GD MOBs 2 25+</t>
  </si>
  <si>
    <t>License 1Y GD MOBs 2 50+</t>
  </si>
  <si>
    <t>License 1Y GD MOBs 2 100+</t>
  </si>
  <si>
    <t>Renewal 1Y GD MOBs 2 -9</t>
  </si>
  <si>
    <t>Renewal 1Y GD MOBs 2 10+</t>
  </si>
  <si>
    <t>Renewal 1Y GD MOBs 2 25+</t>
  </si>
  <si>
    <t>Renewal 1Y GD MOBs 2 50+</t>
  </si>
  <si>
    <t>Renewal 1Y GD MOBs 2 100+</t>
  </si>
  <si>
    <t>Renewal 100 +</t>
  </si>
  <si>
    <t>License 1 &lt; x &lt; 10</t>
  </si>
  <si>
    <t>Renewal 1 &lt; x &lt; 10</t>
  </si>
  <si>
    <t>License 1Y GD AV 25+</t>
  </si>
  <si>
    <t>License 2Y GD AV 25+</t>
  </si>
  <si>
    <t>License 3Y GD AV 25+</t>
  </si>
  <si>
    <t>License 24&lt; x &lt; 50</t>
  </si>
  <si>
    <t>License 1Y GD IS 25+</t>
  </si>
  <si>
    <t>License 2Y GD IS 25+</t>
  </si>
  <si>
    <t>License 3Y GD IS 25+</t>
  </si>
  <si>
    <t>License 1Y GD TP 25+</t>
  </si>
  <si>
    <t>License 2Y GD TP 25+</t>
  </si>
  <si>
    <t>License 3Y GD TP 25+</t>
  </si>
  <si>
    <t>Renewal 24&lt; x &lt; 50</t>
  </si>
  <si>
    <t>Renewal 1Y GD AV 25+</t>
  </si>
  <si>
    <t>Renewal 2Y GD AV 25+</t>
  </si>
  <si>
    <t>Renewal 3Y GD AV 25+</t>
  </si>
  <si>
    <t>Renewal 1Y GD IS 25+</t>
  </si>
  <si>
    <t>Renewal 2Y GD IS 25+</t>
  </si>
  <si>
    <t>Renewal 3Y GD IS 25+</t>
  </si>
  <si>
    <t>Renewal 1Y GD TP 25+</t>
  </si>
  <si>
    <t>Renewal 2Y GD TP 25+</t>
  </si>
  <si>
    <t>Renewal 3Y GD TP 25+</t>
  </si>
  <si>
    <t>License GOV 1Y GD AV</t>
  </si>
  <si>
    <t>License GOV 2Y GD AV</t>
  </si>
  <si>
    <t>License GOV 3Y GD AV</t>
  </si>
  <si>
    <t>License GOV 1Y GD IS</t>
  </si>
  <si>
    <t>License GOV 2Y GD IS</t>
  </si>
  <si>
    <t>License GOV 3Y GD IS</t>
  </si>
  <si>
    <t>License GOV 1Y GD TP</t>
  </si>
  <si>
    <t>License GOV 2Y GD TP</t>
  </si>
  <si>
    <t>License GOV 3Y GD TP</t>
  </si>
  <si>
    <t>Renewal GOV 1Y GD AV</t>
  </si>
  <si>
    <t>Renewal GOV 2Y GD AV</t>
  </si>
  <si>
    <t>Renewal GOV 3Y GD AV</t>
  </si>
  <si>
    <t>Renewal GOV 1Y GD IS</t>
  </si>
  <si>
    <t>Renewal GOV 2Y GD IS</t>
  </si>
  <si>
    <t>Renewal GOV 3Y GD IS</t>
  </si>
  <si>
    <t>Renewal GOV 1Y GD TP</t>
  </si>
  <si>
    <t>Renewal GOV 2Y GD TP</t>
  </si>
  <si>
    <t>Renewal GOV 3Y GD TP</t>
  </si>
  <si>
    <t>Neukauf</t>
  </si>
  <si>
    <t>Renewal G Data AntiVirus Business</t>
  </si>
  <si>
    <t>Renewal G Data ClientSecurity Business</t>
  </si>
  <si>
    <t>G Data MailSecurity</t>
  </si>
  <si>
    <t>G Data AntiVirus Business Crossgrade</t>
  </si>
  <si>
    <t>G Data ClientSecurity Business Crossgrade</t>
  </si>
  <si>
    <t>G Data EndpointProtection Business Crossgrade</t>
  </si>
  <si>
    <t>Renewal G Data EndpointProtection Business</t>
  </si>
  <si>
    <t>Renewal G Data MailSecurity</t>
  </si>
  <si>
    <t>Crossgrade 1Y GD AV BUS -9</t>
  </si>
  <si>
    <t>Crossgrade 1Y GD AV BUS 10+</t>
  </si>
  <si>
    <t>Crossgrade 1Y GD AV BUS 25+</t>
  </si>
  <si>
    <t>Crossgrade 1Y GD AV BUS 50+</t>
  </si>
  <si>
    <t>Crossgrade 1Y GD AV BUS 100+</t>
  </si>
  <si>
    <t>Crossgrade 1Y GD AV BUS 250+</t>
  </si>
  <si>
    <t>Crossgrade 1Y GD AV BUS 500+</t>
  </si>
  <si>
    <t>Crossgrade 1Y GD AV BUS 1000+</t>
  </si>
  <si>
    <t>Crossgrade 2Y GD AV BUS -9</t>
  </si>
  <si>
    <t>Crossgrade 2Y GD AV BUS 10+</t>
  </si>
  <si>
    <t>Crossgrade 2Y GD AV BUS 25+</t>
  </si>
  <si>
    <t>Crossgrade 2Y GD AV BUS 50+</t>
  </si>
  <si>
    <t>Crossgrade 2Y GD AV BUS 100+</t>
  </si>
  <si>
    <t>Crossgrade 2Y GD AV BUS 250+</t>
  </si>
  <si>
    <t>Crossgrade 2Y GD AV BUS 500+</t>
  </si>
  <si>
    <t>Crossgrade 2Y GD AV BUS 1000+</t>
  </si>
  <si>
    <t>Crossgrade 3Y GD AV BUS -9</t>
  </si>
  <si>
    <t>Crossgrade 3Y GD AV BUS 10+</t>
  </si>
  <si>
    <t>Crossgrade 3Y GD AV BUS 25+</t>
  </si>
  <si>
    <t>Crossgrade 3Y GD AV BUS 50+</t>
  </si>
  <si>
    <t>Crossgrade 3Y GD AV BUS 100+</t>
  </si>
  <si>
    <t>Crossgrade 3Y GD AV BUS 250+</t>
  </si>
  <si>
    <t>Crossgrade 3Y GD AV BUS 500+</t>
  </si>
  <si>
    <t>Crossgrade 3Y GD AV BUS 1000+</t>
  </si>
  <si>
    <t>Crossgrade 1Y GD AV ENT -9</t>
  </si>
  <si>
    <t>Crossgrade 1Y GD AV ENT 10+</t>
  </si>
  <si>
    <t>Crossgrade 1Y GD AV ENT 25+</t>
  </si>
  <si>
    <t>Crossgrade 1Y GD AV ENT 50+</t>
  </si>
  <si>
    <t>Crossgrade 1Y GD AV ENT 100+</t>
  </si>
  <si>
    <t>Crossgrade 1Y GD AV ENT 250+</t>
  </si>
  <si>
    <t>Crossgrade 1Y GD AV ENT 500+</t>
  </si>
  <si>
    <t>Crossgrade 1Y GD AV ENT 1000+</t>
  </si>
  <si>
    <t>Crossgrade 2Y GD AV ENT -9</t>
  </si>
  <si>
    <t>Crossgrade 2Y GD AV ENT 10+</t>
  </si>
  <si>
    <t>Crossgrade 2Y GD AV ENT 25+</t>
  </si>
  <si>
    <t>Crossgrade 2Y GD AV ENT 50+</t>
  </si>
  <si>
    <t>Crossgrade 2Y GD AV ENT 100+</t>
  </si>
  <si>
    <t>Crossgrade 2Y GD AV ENT 250+</t>
  </si>
  <si>
    <t>Crossgrade 2Y GD AV ENT 500+</t>
  </si>
  <si>
    <t>Crossgrade 2Y GD AV ENT 1000+</t>
  </si>
  <si>
    <t>Crossgrade 3Y GD AV ENT -9</t>
  </si>
  <si>
    <t>Crossgrade 3Y GD AV ENT 10+</t>
  </si>
  <si>
    <t>Crossgrade 3Y GD AV ENT 25+</t>
  </si>
  <si>
    <t>Crossgrade 3Y GD AV ENT 50+</t>
  </si>
  <si>
    <t>Crossgrade 3Y GD AV ENT 100+</t>
  </si>
  <si>
    <t>Crossgrade 3Y GD AV ENT 250+</t>
  </si>
  <si>
    <t>Crossgrade 3Y GD AV ENT 500+</t>
  </si>
  <si>
    <t>Crossgrade 3Y GD AV ENT 1000+</t>
  </si>
  <si>
    <t>Crossgrade 1Y GD CS BUS -9</t>
  </si>
  <si>
    <t>Crossgrade 1Y GD CS BUS 10+</t>
  </si>
  <si>
    <t>Crossgrade 1Y GD CS BUS 25+</t>
  </si>
  <si>
    <t>Crossgrade 1Y GD CS BUS 50+</t>
  </si>
  <si>
    <t>Crossgrade 1Y GD CS BUS 100+</t>
  </si>
  <si>
    <t>Crossgrade 1Y GD CS BUS 250+</t>
  </si>
  <si>
    <t>Crossgrade 1Y GD CS BUS 500+</t>
  </si>
  <si>
    <t>Crossgrade 1Y GD CS BUS 1000+</t>
  </si>
  <si>
    <t>Crossgrade 2Y GD CS BUS -9</t>
  </si>
  <si>
    <t>Crossgrade 2Y GD CS BUS 10+</t>
  </si>
  <si>
    <t>Crossgrade 2Y GD CS BUS 25+</t>
  </si>
  <si>
    <t>Crossgrade 2Y GD CS BUS 50+</t>
  </si>
  <si>
    <t>Crossgrade 2Y GD CS BUS 100+</t>
  </si>
  <si>
    <t>Crossgrade 2Y GD CS BUS 250+</t>
  </si>
  <si>
    <t>Crossgrade 2Y GD CS BUS 500+</t>
  </si>
  <si>
    <t>Crossgrade 2Y GD CS BUS 1000+</t>
  </si>
  <si>
    <t>Crossgrade 3Y GD CS BUS -9</t>
  </si>
  <si>
    <t>Crossgrade 3Y GD CS BUS 10+</t>
  </si>
  <si>
    <t>Crossgrade 3Y GD CS BUS 25+</t>
  </si>
  <si>
    <t>Crossgrade 3Y GD CS BUS 50+</t>
  </si>
  <si>
    <t>Crossgrade 3Y GD CS BUS 100+</t>
  </si>
  <si>
    <t>Crossgrade 3Y GD CS BUS 250+</t>
  </si>
  <si>
    <t>Crossgrade 3Y GD CS BUS 500+</t>
  </si>
  <si>
    <t>Crossgrade 3Y GD CS BUS 1000+</t>
  </si>
  <si>
    <t>Crossgrade 1Y GD CS ENT -9</t>
  </si>
  <si>
    <t>Crossgrade 1Y GD CS ENT 10+</t>
  </si>
  <si>
    <t>Crossgrade 1Y GD CS ENT 25+</t>
  </si>
  <si>
    <t>Crossgrade 1Y GD CS ENT 50+</t>
  </si>
  <si>
    <t>Crossgrade 1Y GD CS ENT 100+</t>
  </si>
  <si>
    <t>Crossgrade 1Y GD CS ENT 250+</t>
  </si>
  <si>
    <t>Crossgrade 1Y GD CS ENT 500+</t>
  </si>
  <si>
    <t>Crossgrade 1Y GD CS ENT 1000+</t>
  </si>
  <si>
    <t>Crossgrade 2Y GD CS ENT -9</t>
  </si>
  <si>
    <t>Crossgrade 2Y GD CS ENT 10+</t>
  </si>
  <si>
    <t>Crossgrade 2Y GD CS ENT 25+</t>
  </si>
  <si>
    <t>Crossgrade 2Y GD CS ENT 50+</t>
  </si>
  <si>
    <t>Crossgrade 2Y GD CS ENT 100+</t>
  </si>
  <si>
    <t>Crossgrade 2Y GD CS ENT 250+</t>
  </si>
  <si>
    <t>Crossgrade 2Y GD CS ENT 500+</t>
  </si>
  <si>
    <t>Crossgrade 2Y GD CS ENT 1000+</t>
  </si>
  <si>
    <t>Crossgrade 3Y GD CS ENT -9</t>
  </si>
  <si>
    <t>Crossgrade 3Y GD CS ENT 10+</t>
  </si>
  <si>
    <t>Crossgrade 3Y GD CS ENT 25+</t>
  </si>
  <si>
    <t>Crossgrade 3Y GD CS ENT 50+</t>
  </si>
  <si>
    <t>Crossgrade 3Y GD CS ENT 100+</t>
  </si>
  <si>
    <t>Crossgrade 3Y GD CS ENT 250+</t>
  </si>
  <si>
    <t>Crossgrade 3Y GD CS ENT 500+</t>
  </si>
  <si>
    <t>Crossgrade 3Y GD CS ENT 1000+</t>
  </si>
  <si>
    <t>Crossgrade 1Y GD EP BUS -9</t>
  </si>
  <si>
    <t>Crossgrade 1Y GD EP BUS 10+</t>
  </si>
  <si>
    <t>Crossgrade 1Y GD EP BUS 25+</t>
  </si>
  <si>
    <t>Crossgrade 1Y GD EP BUS 50+</t>
  </si>
  <si>
    <t>Crossgrade 1Y GD EP BUS 100+</t>
  </si>
  <si>
    <t>Crossgrade 1Y GD EP BUS 250+</t>
  </si>
  <si>
    <t>Crossgrade 1Y GD EP BUS 500+</t>
  </si>
  <si>
    <t>Crossgrade 1Y GD EP BUS 1000+</t>
  </si>
  <si>
    <t>Crossgrade 2Y GD EP BUS -9</t>
  </si>
  <si>
    <t>Crossgrade 2Y GD EP BUS 10+</t>
  </si>
  <si>
    <t>Crossgrade 2Y GD EP BUS 25+</t>
  </si>
  <si>
    <t>Crossgrade 2Y GD EP BUS 50+</t>
  </si>
  <si>
    <t>Crossgrade 2Y GD EP BUS 100+</t>
  </si>
  <si>
    <t>Crossgrade 2Y GD EP BUS 250+</t>
  </si>
  <si>
    <t>Crossgrade 2Y GD EP BUS 500+</t>
  </si>
  <si>
    <t>Crossgrade 2Y GD EP BUS 1000+</t>
  </si>
  <si>
    <t>Crossgrade 3Y GD EP BUS -9</t>
  </si>
  <si>
    <t>Crossgrade 3Y GD EP BUS 10+</t>
  </si>
  <si>
    <t>Crossgrade 3Y GD EP BUS 25+</t>
  </si>
  <si>
    <t>Crossgrade 3Y GD EP BUS 50+</t>
  </si>
  <si>
    <t>Crossgrade 3Y GD EP BUS 100+</t>
  </si>
  <si>
    <t>Crossgrade 3Y GD EP BUS 250+</t>
  </si>
  <si>
    <t>Crossgrade 3Y GD EP BUS 500+</t>
  </si>
  <si>
    <t>Crossgrade 3Y GD EP BUS 1000+</t>
  </si>
  <si>
    <t>Crossgrade 1Y GD EP ENT -9</t>
  </si>
  <si>
    <t>Crossgrade 1Y GD EP ENT 10+</t>
  </si>
  <si>
    <t>Crossgrade 1Y GD EP ENT 25+</t>
  </si>
  <si>
    <t>Crossgrade 1Y GD EP ENT 50+</t>
  </si>
  <si>
    <t>Crossgrade 1Y GD EP ENT 100+</t>
  </si>
  <si>
    <t>Crossgrade 1Y GD EP ENT 250+</t>
  </si>
  <si>
    <t>Crossgrade 1Y GD EP ENT 500+</t>
  </si>
  <si>
    <t>Crossgrade 1Y GD EP ENT 1000+</t>
  </si>
  <si>
    <t>Crossgrade 2Y GD EP ENT -9</t>
  </si>
  <si>
    <t>Crossgrade 2Y GD EP ENT 10+</t>
  </si>
  <si>
    <t>Crossgrade 2Y GD EP ENT 25+</t>
  </si>
  <si>
    <t>Crossgrade 2Y GD EP ENT 50+</t>
  </si>
  <si>
    <t>Crossgrade 2Y GD EP ENT 100+</t>
  </si>
  <si>
    <t>Crossgrade 2Y GD EP ENT 250+</t>
  </si>
  <si>
    <t>Crossgrade 2Y GD EP ENT 500+</t>
  </si>
  <si>
    <t>Crossgrade 2Y GD EP ENT 1000+</t>
  </si>
  <si>
    <t>Crossgrade 3Y GD EP ENT -9</t>
  </si>
  <si>
    <t>Crossgrade 3Y GD EP ENT 10+</t>
  </si>
  <si>
    <t>Crossgrade 3Y GD EP ENT 25+</t>
  </si>
  <si>
    <t>Crossgrade 3Y GD EP ENT 50+</t>
  </si>
  <si>
    <t>Crossgrade 3Y GD EP ENT 100+</t>
  </si>
  <si>
    <t>Crossgrade 3Y GD EP ENT 250+</t>
  </si>
  <si>
    <t>Crossgrade 3Y GD EP ENT 500+</t>
  </si>
  <si>
    <t>Crossgrade 3Y GD EP ENT 1000+</t>
  </si>
  <si>
    <t>License 1Y GD AV 5+</t>
  </si>
  <si>
    <t>License 5 &lt; x &lt; 25</t>
  </si>
  <si>
    <t>License 2Y GD AV 5+</t>
  </si>
  <si>
    <t>License 3Y GD AV 5+</t>
  </si>
  <si>
    <t>License 1Y GD IS 5+</t>
  </si>
  <si>
    <t>License 2Y GD IS 5+</t>
  </si>
  <si>
    <t>License 3Y GD IS 5+</t>
  </si>
  <si>
    <t>License 1Y GD TP 5+</t>
  </si>
  <si>
    <t>License 2Y GD TP 5+</t>
  </si>
  <si>
    <t>License 3Y GD TP 5+</t>
  </si>
  <si>
    <t>Renewal 5 &lt; x &lt; 25</t>
  </si>
  <si>
    <t>Renewal 1Y GD AV 5+</t>
  </si>
  <si>
    <t>Renewal 2Y GD AV 5+</t>
  </si>
  <si>
    <t>Renewal 3Y GD AV 5+</t>
  </si>
  <si>
    <t>Renewal 1Y GD IS 5+</t>
  </si>
  <si>
    <t>Renewal 2Y GD IS 5+</t>
  </si>
  <si>
    <t>Renewal 3Y GD IS 5+</t>
  </si>
  <si>
    <t>Renewal 1Y GD TP 5+</t>
  </si>
  <si>
    <t>Renewal 2Y GD TP 5+</t>
  </si>
  <si>
    <t>Renewal 3Y GD TP 5+</t>
  </si>
  <si>
    <t>G Data PatchManagement</t>
  </si>
  <si>
    <t>License 1Y GD PM -9</t>
  </si>
  <si>
    <t>G Data PatchMangement</t>
  </si>
  <si>
    <t>License 1Y GD PM 10+</t>
  </si>
  <si>
    <t>License 1Y GD PM 25+</t>
  </si>
  <si>
    <t>License 1Y GD PM 50+</t>
  </si>
  <si>
    <t>License 1Y GD PM 100+</t>
  </si>
  <si>
    <t>License 1Y GD PM 250+</t>
  </si>
  <si>
    <t>License 1Y GD PM 500+</t>
  </si>
  <si>
    <t>License 1Y GD PM 1000+</t>
  </si>
  <si>
    <t>License GOV 1Y GD PM</t>
  </si>
  <si>
    <t>Renewal 1Y GD PM 1000+</t>
  </si>
  <si>
    <t>Renewal GOV 1Y GD PM</t>
  </si>
  <si>
    <t>G Data PatchManagement Modul</t>
  </si>
  <si>
    <t>License 2Y GD PM -9</t>
  </si>
  <si>
    <t>License 2Y GD PM 10+</t>
  </si>
  <si>
    <t>License 2Y GD PM 25+</t>
  </si>
  <si>
    <t>License 2Y GD PM 50+</t>
  </si>
  <si>
    <t>License 2Y GD PM 100+</t>
  </si>
  <si>
    <t>License 2Y GD PM 250+</t>
  </si>
  <si>
    <t>License 2Y GD PM 500+</t>
  </si>
  <si>
    <t>License 2Y GD PM 1000+</t>
  </si>
  <si>
    <t>License GOV 2Y GD PM</t>
  </si>
  <si>
    <t>License 3Y GD PM -9</t>
  </si>
  <si>
    <t>License 3Y GD PM 10+</t>
  </si>
  <si>
    <t>License 3Y GD PM 25+</t>
  </si>
  <si>
    <t>License 3Y GD PM 50+</t>
  </si>
  <si>
    <t>License 3Y GD PM 100+</t>
  </si>
  <si>
    <t>License 3Y GD PM 250+</t>
  </si>
  <si>
    <t>License 3Y GD PM 500+</t>
  </si>
  <si>
    <t>License 3Y GD PM 1000+</t>
  </si>
  <si>
    <t>License GOV 3Y GD PM</t>
  </si>
  <si>
    <t>License 4&lt; x &lt;10</t>
  </si>
  <si>
    <t>License 9&lt; x &lt;25</t>
  </si>
  <si>
    <t>License 24&lt; x &lt;50</t>
  </si>
  <si>
    <t>License 49&lt; x &lt;100</t>
  </si>
  <si>
    <t>License 99&lt; x &lt;250</t>
  </si>
  <si>
    <t>License 249&lt; x &lt;500</t>
  </si>
  <si>
    <t>License 499&lt; x &lt;1000</t>
  </si>
  <si>
    <t>Renewal GOV 2Y GD PM</t>
  </si>
  <si>
    <t>Renewal 3Y GD PM 1000+</t>
  </si>
  <si>
    <t>Renewal GOV 3Y GD PM</t>
  </si>
  <si>
    <t>Renewal 4&lt; x &lt;10</t>
  </si>
  <si>
    <t>Renewal 9&lt; x &lt;25</t>
  </si>
  <si>
    <t>Renewal 24&lt; x &lt;50</t>
  </si>
  <si>
    <t>Renewal 49&lt; x &lt;100</t>
  </si>
  <si>
    <t>Renewal 99&lt; x &lt;250</t>
  </si>
  <si>
    <t>Renewal 249&lt; x &lt;500</t>
  </si>
  <si>
    <t>Renewal 499&lt; x &lt;1000</t>
  </si>
  <si>
    <t>Artikelnummer PM 1Y</t>
  </si>
  <si>
    <t>Artikelnummer PM 2Y</t>
  </si>
  <si>
    <t>Artikelnummer PM 3Y</t>
  </si>
  <si>
    <t>Stückpreis PM 1Y Staffel</t>
  </si>
  <si>
    <t>Stückpreis PM 2Y Staffel</t>
  </si>
  <si>
    <t>Stückpreis PM 3Y Staffel</t>
  </si>
  <si>
    <t>Gesamtpreis PM 1Y Staffel</t>
  </si>
  <si>
    <t>Gesamtpreis PM 2Y Staffel</t>
  </si>
  <si>
    <t>Gesamtpreis PM 3Y Staffel</t>
  </si>
  <si>
    <t>Nettopreis
pro Lizenz</t>
  </si>
  <si>
    <t>Einkaufspreis
pro Lizenz</t>
  </si>
  <si>
    <t>Nettopreis
gesamt</t>
  </si>
  <si>
    <t>Einkaufspreis
gesamt</t>
  </si>
  <si>
    <t>Renewal G Data PatchManagement</t>
  </si>
  <si>
    <t>Your G Data Contacts</t>
  </si>
  <si>
    <t>Please enter your respective partner discount!</t>
  </si>
  <si>
    <t>Network license:</t>
  </si>
  <si>
    <t>Network license-renewal:</t>
  </si>
  <si>
    <t>manufacturer</t>
  </si>
  <si>
    <t>article number</t>
  </si>
  <si>
    <t>description</t>
  </si>
  <si>
    <t>license echelon</t>
  </si>
  <si>
    <t>art</t>
  </si>
  <si>
    <t>product</t>
  </si>
  <si>
    <t>description 2</t>
  </si>
  <si>
    <t>sales price
net</t>
  </si>
  <si>
    <t>purchase price
net</t>
  </si>
  <si>
    <t>network license 1 year</t>
  </si>
  <si>
    <t>network license 2 years</t>
  </si>
  <si>
    <t>Crossgrade network license 2 years</t>
  </si>
  <si>
    <t>network license 3 years</t>
  </si>
  <si>
    <t>Crossgrade network license 3 years</t>
  </si>
  <si>
    <t>Crossgrade network license 1 year</t>
  </si>
  <si>
    <t>network license renewal 1 year</t>
  </si>
  <si>
    <t>network license renewal 2 years</t>
  </si>
  <si>
    <t>network license renewal 3 years</t>
  </si>
  <si>
    <t>Mail gateway virus+anti spam license 1 year</t>
  </si>
  <si>
    <t>Mail gateway virus+anti spam license 2 years</t>
  </si>
  <si>
    <t>Mail gateway virus+anti spam license 3 years</t>
  </si>
  <si>
    <t>renewal Mail gateway virus+anti spam license 1 year</t>
  </si>
  <si>
    <t>renewal Mail gateway virus+anti spam license 2 years</t>
  </si>
  <si>
    <t>renewal Mail gateway virus+anti spam license 3 years</t>
  </si>
  <si>
    <t>multi-user license 1 year</t>
  </si>
  <si>
    <t>multi-user license 2 years</t>
  </si>
  <si>
    <t>multi-user license 3 years</t>
  </si>
  <si>
    <t>multi-user license renewal 1 year</t>
  </si>
  <si>
    <t>multi-user license renewal 2 years</t>
  </si>
  <si>
    <t>multi-user license renewal 3 years</t>
  </si>
  <si>
    <t>network license government 1 year</t>
  </si>
  <si>
    <t>network license government 2 years</t>
  </si>
  <si>
    <t>network license government 3 years</t>
  </si>
  <si>
    <t>Mail gateway virus+anti spam license government 1 year</t>
  </si>
  <si>
    <t>Mail gateway virus+anti spam license government 2 years</t>
  </si>
  <si>
    <t>Mail gateway virus+anti spam license government 3 years</t>
  </si>
  <si>
    <t>network license renewa government 1 year</t>
  </si>
  <si>
    <t>network license renewa government 2 years</t>
  </si>
  <si>
    <t>network license renewa government 3 years</t>
  </si>
  <si>
    <t>G Data AntiVirus Business network license</t>
  </si>
  <si>
    <t>G Data AntiVirus Business network license renewal</t>
  </si>
  <si>
    <t>G Data ClientSecurity Business network license</t>
  </si>
  <si>
    <t>G Data ClientSecurity Business network license renewal</t>
  </si>
  <si>
    <t>G Data MailSecurity network license</t>
  </si>
  <si>
    <t>G Data MailSecurity network license renewal</t>
  </si>
  <si>
    <t>G Data EndpointProtection Business network license</t>
  </si>
  <si>
    <t>G Data EndpointProtection Business network license renewal</t>
  </si>
  <si>
    <t>G Data UNI network license</t>
  </si>
  <si>
    <t>G Data UNI network license renewal</t>
  </si>
  <si>
    <t>G Data GOV network license</t>
  </si>
  <si>
    <t>G Data GOV network license renewal</t>
  </si>
  <si>
    <t>G Data network license upgrade</t>
  </si>
  <si>
    <t>G Data Crossgrade AntiVirus Business network license</t>
  </si>
  <si>
    <t>G Data Crossgrade ClientSecurity Business network license</t>
  </si>
  <si>
    <t>G Data Crossgrade EndpointProtection Business network license</t>
  </si>
  <si>
    <t>G Data MobileSecurity2 multi-user license</t>
  </si>
  <si>
    <t>G Data MobileSecurity2 multi-user license renewal</t>
  </si>
  <si>
    <t>G Data multi-user license</t>
  </si>
  <si>
    <t>G Data multi-user license renewal</t>
  </si>
  <si>
    <t>G Data PatchManagement Modul renewal</t>
  </si>
  <si>
    <t xml:space="preserve">G Datalicense pricing Business Security </t>
  </si>
  <si>
    <t>G Data Crossupgrade network license</t>
  </si>
  <si>
    <t>licenses</t>
  </si>
  <si>
    <t>purchase</t>
  </si>
  <si>
    <t>1 year</t>
  </si>
  <si>
    <t>2 years</t>
  </si>
  <si>
    <t>3 years</t>
  </si>
  <si>
    <t>renewal</t>
  </si>
  <si>
    <t>per license</t>
  </si>
  <si>
    <t>new purchase</t>
  </si>
  <si>
    <t>piece</t>
  </si>
  <si>
    <t>pos</t>
  </si>
  <si>
    <t>art.</t>
  </si>
  <si>
    <t>nr.</t>
  </si>
  <si>
    <t>license</t>
  </si>
  <si>
    <t>enduser</t>
  </si>
  <si>
    <t>price net</t>
  </si>
  <si>
    <t>your</t>
  </si>
  <si>
    <t>incl. 12 months premium support</t>
  </si>
  <si>
    <t>incl. 24 months premium support</t>
  </si>
  <si>
    <t>incl. 36 months premium support</t>
  </si>
  <si>
    <t>article</t>
  </si>
  <si>
    <t>Silver Partner</t>
  </si>
  <si>
    <t>price per</t>
  </si>
  <si>
    <t>GOV</t>
  </si>
  <si>
    <t>Gov</t>
  </si>
  <si>
    <t>license number</t>
  </si>
  <si>
    <t xml:space="preserve"> remaining time business license in months</t>
  </si>
  <si>
    <t>Term of
License</t>
  </si>
  <si>
    <t>months premium support</t>
  </si>
  <si>
    <t>incl.</t>
  </si>
  <si>
    <t>Retail-Box/ ESD:</t>
  </si>
  <si>
    <t>License EDU 1Y GD CS BUS -S</t>
  </si>
  <si>
    <t>License EDU</t>
  </si>
  <si>
    <t>License EDU 2Y GD CS BUS -S</t>
  </si>
  <si>
    <t>License EDU 3Y GD CS BUS -S</t>
  </si>
  <si>
    <t>License EDU 1Y GD CS ENT -S</t>
  </si>
  <si>
    <t>License EDU 2Y GD CS ENT -S</t>
  </si>
  <si>
    <t>License EDU 3Y GD CS ENT -S</t>
  </si>
  <si>
    <t>License EDU 1Y GD EP ENT -S</t>
  </si>
  <si>
    <t>License EDU 2Y GD EP ENT -S</t>
  </si>
  <si>
    <t>License EDU 3Y GD EP ENT -S</t>
  </si>
  <si>
    <t xml:space="preserve">License EDU 1Y GD MS  </t>
  </si>
  <si>
    <t xml:space="preserve">License EDU 2Y GD MS  </t>
  </si>
  <si>
    <t xml:space="preserve">License EDU 3Y GD MS  </t>
  </si>
  <si>
    <t>License EDU 1Y GD AV -S</t>
  </si>
  <si>
    <t>License EDU 2Y GD AV -S</t>
  </si>
  <si>
    <t>License EDU 3Y GD AV -S</t>
  </si>
  <si>
    <t>License EDU 1Y GD IS -S</t>
  </si>
  <si>
    <t>License EDU 2Y GD IS -S</t>
  </si>
  <si>
    <t>License EDU 3Y GD IS -S</t>
  </si>
  <si>
    <t>License EDU 1Y GD TP -S</t>
  </si>
  <si>
    <t>License EDU 2Y GD TP -S</t>
  </si>
  <si>
    <t>License EDU 3Y GD TP -S</t>
  </si>
  <si>
    <t>Renewal EDU 1Y GD CS BUS -S</t>
  </si>
  <si>
    <t>Renewal EDU</t>
  </si>
  <si>
    <t>Renewal EDU 2Y GD CS BUS -S</t>
  </si>
  <si>
    <t>Renewal EDU 3Y GD CS BUS -S</t>
  </si>
  <si>
    <t>Renewal EDU 1Y GD CS ENT -S</t>
  </si>
  <si>
    <t>Renewal EDU 2Y GD CS ENT -S</t>
  </si>
  <si>
    <t>Renewal EDU 3Y GD CS ENT -S</t>
  </si>
  <si>
    <t>Renewal EDU 1Y GD EP BUS -S</t>
  </si>
  <si>
    <t>Renewal EDU 2Y GD EP BUS -S</t>
  </si>
  <si>
    <t>Renewal EDU 3Y GD EP BUS -S</t>
  </si>
  <si>
    <t>Renewal EDU 1Y GD EP ENT -S</t>
  </si>
  <si>
    <t>Renewal EDU 2Y GD EP ENT -S</t>
  </si>
  <si>
    <t>Renewal EDU 3Y GD EP ENT -S</t>
  </si>
  <si>
    <t>Renewal EDU 1Y GD AV -S</t>
  </si>
  <si>
    <t>Renewal EDU 2Y GD AV -S</t>
  </si>
  <si>
    <t>Renewal EDU 3Y GD AV -S</t>
  </si>
  <si>
    <t>Renewal EDU 1Y GD IS  -S</t>
  </si>
  <si>
    <t>Renewal EDU 2Y GD IS  -S</t>
  </si>
  <si>
    <t>Renewal EDU 3Y GD IS  -S</t>
  </si>
  <si>
    <t>Renewal EDU 1Y GD TP  -S</t>
  </si>
  <si>
    <t>Renewal EDU 2Y GD TP  -S</t>
  </si>
  <si>
    <t>Renewal EDU 3Y GD TP  -S</t>
  </si>
  <si>
    <t>Renewal EDU 1Y GD MS  -S</t>
  </si>
  <si>
    <t>Renewal EDU 2Y GD MS  -S</t>
  </si>
  <si>
    <t>Renewal EDU 3Y GD MS  -S</t>
  </si>
  <si>
    <t>License EDU 1Y GD PM</t>
  </si>
  <si>
    <t>License EDU 2Y GD PM</t>
  </si>
  <si>
    <t>License EDU 3Y GD PM</t>
  </si>
  <si>
    <t>Renewal EDU 1Y GD PM</t>
  </si>
  <si>
    <t>Renewal EDU 2Y GD PM</t>
  </si>
  <si>
    <t>Renewal EDU 3Y GD PM</t>
  </si>
  <si>
    <t>Renewal UNI 1Y GD PM S</t>
  </si>
  <si>
    <t>Renewal UNI 1Y GD PM M</t>
  </si>
  <si>
    <t>Renewal UNI 1Y GD PM L</t>
  </si>
  <si>
    <t>Renewal UNI 2Y GD PM S</t>
  </si>
  <si>
    <t>Renewal UNI 2Y GD PM M</t>
  </si>
  <si>
    <t>Renewal UNI 2Y GD PM L</t>
  </si>
  <si>
    <t>Renewal UNI 3Y GD PM S</t>
  </si>
  <si>
    <t>Renewal UNI 3Y GD PM M</t>
  </si>
  <si>
    <t>Renewal UNI 3Y GD PM L</t>
  </si>
  <si>
    <t>License UNI 1Y GD PM S</t>
  </si>
  <si>
    <t>License UNI 1Y GD PM M</t>
  </si>
  <si>
    <t>License UNI 1Y GD PM L</t>
  </si>
  <si>
    <t>License UNI 2Y GD PM S</t>
  </si>
  <si>
    <t>License UNI 2Y GD PM M</t>
  </si>
  <si>
    <t>License UNI 2Y GD PM L</t>
  </si>
  <si>
    <t>License UNI 3Y GD PM S</t>
  </si>
  <si>
    <t>License UNI 3Y GD PM M</t>
  </si>
  <si>
    <t>License UNI 3Y GD PM L</t>
  </si>
  <si>
    <t>Renewal 3Y GD PM 500+</t>
  </si>
  <si>
    <t>Renewal 3Y GD PM 250+</t>
  </si>
  <si>
    <t>Renewal 1Y GD PM -9</t>
  </si>
  <si>
    <t>Renewal 1Y GD PM 10+</t>
  </si>
  <si>
    <t>Renewal 1Y GD PM 25+</t>
  </si>
  <si>
    <t>Renewal 1Y GD PM 50+</t>
  </si>
  <si>
    <t>Renewal 1Y GD PM 100+</t>
  </si>
  <si>
    <t>Renewal 1Y GD PM 250+</t>
  </si>
  <si>
    <t>Renewal 1Y GD PM 500+</t>
  </si>
  <si>
    <t>Renewal 2Y GD PM -9</t>
  </si>
  <si>
    <t>Renewal 2Y GD PM 10+</t>
  </si>
  <si>
    <t>Renewal 2Y GD PM 25+</t>
  </si>
  <si>
    <t>Renewal 2Y GD PM 50+</t>
  </si>
  <si>
    <t>Renewal 2Y GD PM 100+</t>
  </si>
  <si>
    <t>Renewal 2Y GD PM 250+</t>
  </si>
  <si>
    <t>Renewal 2Y GD PM 500+</t>
  </si>
  <si>
    <t>Renewal 2Y GD PM 1000+</t>
  </si>
  <si>
    <t>Renewal 3Y GD PM -9</t>
  </si>
  <si>
    <t>Renewal 3Y GD PM 10+</t>
  </si>
  <si>
    <t>Renewal 3Y GD PM 25+</t>
  </si>
  <si>
    <t>Renewal 3Y GD PM 50+</t>
  </si>
  <si>
    <t>Renewal 3Y GD PM 100+</t>
  </si>
  <si>
    <t>Enter license number!</t>
  </si>
  <si>
    <t>G Data EDU network license/ multi user license</t>
  </si>
  <si>
    <t>G Data EDU network license/ multi user license renewal</t>
  </si>
  <si>
    <t>is bought together with a G Data business license.</t>
  </si>
  <si>
    <t>The period of validity of the G Data PatchManagement Module will always be adapted to the respective time of the G Data business solution and offset.</t>
  </si>
  <si>
    <t>The scope of license of G Data PatchManagement Module must correspond to the appropriate G Data business solution.</t>
  </si>
  <si>
    <t>The pricelist replaces all previous.</t>
  </si>
  <si>
    <t>Mail gateway license renewal government 1 year</t>
  </si>
  <si>
    <t>Mail gateway license renewal government 2 years</t>
  </si>
  <si>
    <t>Mail gateway license renewal government 3 years</t>
  </si>
  <si>
    <t>scope of licence</t>
  </si>
  <si>
    <t>type</t>
  </si>
  <si>
    <t>*</t>
  </si>
  <si>
    <t>G Data is not liable for the completeness and correctness of form and content.</t>
  </si>
  <si>
    <t>*The G Data Patchmanagement module can only be purchased if a G Data business license such as G Data AntiVirus, G Data ClientSecurity or G Data Endpointprotection is already being used or if G Data Patchmanagement</t>
  </si>
  <si>
    <t>The update support comprises e.a. the hourly AntiVirus-Updates, Software-Updates as well as G Data Support via E-Mail and telephone.</t>
  </si>
  <si>
    <t>Pricelists for economic and trade use are subject to VAT.</t>
  </si>
  <si>
    <t>Price changes, errors and omissions excepted.</t>
  </si>
  <si>
    <t>G Data AntiVirus + MailSecurity + Backup network license</t>
  </si>
  <si>
    <t>G Data AntiVirus + MailSecurity + Backup</t>
  </si>
  <si>
    <t>G Data AntiVirus + MailSecurity + Backup network license renewal</t>
  </si>
  <si>
    <t>G Data ClientSecurity + MailSecurity + Backup network license</t>
  </si>
  <si>
    <t>G Data ClientSecurity + MailSecurity + Backup</t>
  </si>
  <si>
    <t>G Data ClientSecurity + MailSecurity + Backup network license renewal</t>
  </si>
  <si>
    <t>G Data EndpointProtection + MailSecurity + Backup network license</t>
  </si>
  <si>
    <t>G Data EndpointProtection + MailSecurity + Backup</t>
  </si>
  <si>
    <t>G Data EndpointProtection + MailSecurity + Backup network license renewal</t>
  </si>
  <si>
    <t>Upgrade GD AV BUS -&gt; GD AntiVirus + MailSecurity + Backup</t>
  </si>
  <si>
    <t>Upgrade GD AV BUS -&gt; GD Client Security + MailSecurity + Backup</t>
  </si>
  <si>
    <t>Upgrade GD AV BUS -&gt; GD EndpointProtection + MailSecurity + Backup</t>
  </si>
  <si>
    <t>Upgrade GD CS BUS -&gt; GD Client Security + MailSecurity + Backup</t>
  </si>
  <si>
    <t>Upgrade GD CS BUS -&gt; GD EndpointProtection + MailSecurity + Backup</t>
  </si>
  <si>
    <t>Upgrade GD EP BUS -&gt; GD EndpointProtection + MailSecurity + Backup</t>
  </si>
  <si>
    <t>Upgrade GD AV ENT -&gt; GD ClientSecurity + MailSecurity + Backup</t>
  </si>
  <si>
    <t>Upgrade GD AV ENT -&gt; GD EndpointProtection + MailSecurity + Backup</t>
  </si>
  <si>
    <t>Upgrade GD CS ENT -&gt; GD EndpointProtection + MailSecurity + Backup</t>
  </si>
  <si>
    <t>G Data Crossgrade AntiVirus + MailSecurity + Backup network license</t>
  </si>
  <si>
    <t>G Data Crossgrade ClientSecurity + MailSecurity + Backup network license</t>
  </si>
  <si>
    <t>G Data Crossgrade EndpointProtection + MailSecurity + Backup network license</t>
  </si>
  <si>
    <t>Renewal G Data AntiVirus + MailSecurity + Backup</t>
  </si>
  <si>
    <t>Renewal G Data ClientSecurity + MailSecurity + Backup</t>
  </si>
  <si>
    <t>Renewal G Data EndpointProtection + MailSecurity + Backup</t>
  </si>
  <si>
    <t>G Data AntiVirus + MailSecurity + Backup Crossgrade</t>
  </si>
  <si>
    <t>G Data ClientSecurity + MailSecurity + Backup Crossgrade</t>
  </si>
  <si>
    <t>G Data EndpointProtection + MailSecurity + Backup Crossgrade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</si>
</sst>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#,##0.00\ &quot;€&quot;"/>
    <numFmt numFmtId="166" formatCode="#,##0\ [$€-1]"/>
    <numFmt numFmtId="167" formatCode="#,##0.00\ [$€-1]"/>
    <numFmt numFmtId="168" formatCode="_-* #,##0.00\ &quot;DM&quot;_-;\-* #,##0.00\ &quot;DM&quot;_-;_-* &quot;-&quot;??\ &quot;DM&quot;_-;_-@_-"/>
    <numFmt numFmtId="169" formatCode="0\L\i\z\."/>
    <numFmt numFmtId="170" formatCode="_-* #,##0.00\ [$€-407]_-;\-* #,##0.00\ [$€-407]_-;_-* &quot;-&quot;??\ [$€-407]_-;_-@_-"/>
    <numFmt numFmtId="171" formatCode="0\ \l\i\c\."/>
    <numFmt numFmtId="172" formatCode="General\ &quot;lic.&quot;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</font>
    <font>
      <b/>
      <sz val="9"/>
      <color theme="6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9"/>
      <color theme="10"/>
      <name val="Calibri"/>
      <family val="2"/>
    </font>
    <font>
      <b/>
      <sz val="8"/>
      <color theme="6" tint="-0.249977111117893"/>
      <name val="Calibri"/>
      <family val="2"/>
    </font>
    <font>
      <b/>
      <sz val="10"/>
      <color theme="6" tint="-0.249977111117893"/>
      <name val="Calibri"/>
      <family val="2"/>
    </font>
    <font>
      <b/>
      <sz val="24"/>
      <color rgb="FF9BBB59"/>
      <name val="Calibri"/>
      <family val="2"/>
      <scheme val="minor"/>
    </font>
    <font>
      <b/>
      <sz val="11"/>
      <color theme="9" tint="-0.249977111117893"/>
      <name val="Calibri"/>
      <family val="2"/>
    </font>
    <font>
      <b/>
      <sz val="8"/>
      <color theme="3" tint="0.39997558519241921"/>
      <name val="Calibri"/>
      <family val="2"/>
    </font>
    <font>
      <sz val="9"/>
      <color rgb="FFFF0000"/>
      <name val="Calibri"/>
      <family val="2"/>
      <scheme val="minor"/>
    </font>
    <font>
      <sz val="9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Calibri"/>
      <family val="2"/>
    </font>
    <font>
      <b/>
      <sz val="10"/>
      <name val="Calibri"/>
      <family val="2"/>
    </font>
    <font>
      <b/>
      <sz val="20"/>
      <name val="Arial"/>
      <family val="2"/>
    </font>
    <font>
      <b/>
      <sz val="9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Arial"/>
      <family val="2"/>
    </font>
    <font>
      <sz val="9"/>
      <color theme="0" tint="-0.34998626667073579"/>
      <name val="Arial"/>
      <family val="2"/>
    </font>
    <font>
      <sz val="11"/>
      <color theme="3" tint="0.39997558519241921"/>
      <name val="Calibri"/>
      <family val="2"/>
    </font>
    <font>
      <b/>
      <sz val="11"/>
      <color theme="3" tint="0.39997558519241921"/>
      <name val="Calibri"/>
      <family val="2"/>
      <scheme val="minor"/>
    </font>
    <font>
      <sz val="11"/>
      <color theme="6" tint="-0.249977111117893"/>
      <name val="Calibri"/>
      <family val="2"/>
    </font>
    <font>
      <b/>
      <sz val="1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rgb="FF000000"/>
      <name val="Tahoma"/>
      <family val="2"/>
    </font>
    <font>
      <sz val="9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9"/>
      <color rgb="FFFF0000"/>
      <name val="Calibri"/>
      <family val="2"/>
    </font>
    <font>
      <b/>
      <sz val="8"/>
      <color theme="3" tint="0.3999755851924192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</borders>
  <cellStyleXfs count="36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42">
    <xf numFmtId="0" fontId="0" fillId="0" borderId="0" xfId="0"/>
    <xf numFmtId="0" fontId="0" fillId="0" borderId="0" xfId="0" applyFont="1" applyAlignment="1">
      <alignment vertical="center"/>
    </xf>
    <xf numFmtId="0" fontId="5" fillId="0" borderId="0" xfId="0" applyFont="1" applyFill="1"/>
    <xf numFmtId="0" fontId="6" fillId="4" borderId="1" xfId="6" applyFont="1" applyFill="1" applyBorder="1" applyProtection="1">
      <protection locked="0" hidden="1"/>
    </xf>
    <xf numFmtId="0" fontId="6" fillId="4" borderId="1" xfId="6" applyFont="1" applyFill="1" applyBorder="1" applyAlignment="1" applyProtection="1">
      <alignment horizontal="center"/>
      <protection locked="0" hidden="1"/>
    </xf>
    <xf numFmtId="8" fontId="6" fillId="4" borderId="1" xfId="6" applyNumberFormat="1" applyFont="1" applyFill="1" applyBorder="1" applyAlignment="1" applyProtection="1">
      <alignment horizontal="right"/>
      <protection locked="0" hidden="1"/>
    </xf>
    <xf numFmtId="0" fontId="6" fillId="5" borderId="1" xfId="6" applyFont="1" applyFill="1" applyBorder="1" applyProtection="1">
      <protection locked="0" hidden="1"/>
    </xf>
    <xf numFmtId="0" fontId="6" fillId="5" borderId="1" xfId="6" applyFont="1" applyFill="1" applyBorder="1" applyAlignment="1" applyProtection="1">
      <alignment horizontal="center"/>
      <protection locked="0" hidden="1"/>
    </xf>
    <xf numFmtId="8" fontId="6" fillId="5" borderId="1" xfId="6" applyNumberFormat="1" applyFont="1" applyFill="1" applyBorder="1" applyAlignment="1" applyProtection="1">
      <alignment horizontal="right"/>
      <protection locked="0" hidden="1"/>
    </xf>
    <xf numFmtId="0" fontId="6" fillId="5" borderId="1" xfId="6" applyFont="1" applyFill="1" applyBorder="1" applyAlignment="1" applyProtection="1">
      <alignment horizontal="left" vertical="top"/>
      <protection locked="0" hidden="1"/>
    </xf>
    <xf numFmtId="0" fontId="6" fillId="5" borderId="1" xfId="6" applyFont="1" applyFill="1" applyBorder="1" applyAlignment="1" applyProtection="1">
      <alignment horizontal="center" vertical="top"/>
      <protection locked="0" hidden="1"/>
    </xf>
    <xf numFmtId="0" fontId="6" fillId="5" borderId="1" xfId="6" applyFont="1" applyFill="1" applyBorder="1" applyAlignment="1" applyProtection="1">
      <alignment horizontal="center" wrapText="1"/>
      <protection locked="0" hidden="1"/>
    </xf>
    <xf numFmtId="0" fontId="5" fillId="5" borderId="1" xfId="0" applyFont="1" applyFill="1" applyBorder="1"/>
    <xf numFmtId="0" fontId="6" fillId="5" borderId="1" xfId="0" applyFont="1" applyFill="1" applyBorder="1"/>
    <xf numFmtId="0" fontId="8" fillId="0" borderId="0" xfId="0" applyFont="1" applyFill="1"/>
    <xf numFmtId="0" fontId="0" fillId="0" borderId="0" xfId="0" applyFont="1" applyFill="1"/>
    <xf numFmtId="0" fontId="6" fillId="4" borderId="3" xfId="6" applyFont="1" applyFill="1" applyBorder="1" applyProtection="1">
      <protection locked="0" hidden="1"/>
    </xf>
    <xf numFmtId="0" fontId="6" fillId="4" borderId="3" xfId="6" applyFont="1" applyFill="1" applyBorder="1" applyAlignment="1" applyProtection="1">
      <alignment horizontal="center"/>
      <protection locked="0" hidden="1"/>
    </xf>
    <xf numFmtId="8" fontId="6" fillId="4" borderId="3" xfId="6" applyNumberFormat="1" applyFont="1" applyFill="1" applyBorder="1" applyAlignment="1" applyProtection="1">
      <alignment horizontal="right"/>
      <protection locked="0" hidden="1"/>
    </xf>
    <xf numFmtId="8" fontId="6" fillId="5" borderId="9" xfId="6" applyNumberFormat="1" applyFont="1" applyFill="1" applyBorder="1" applyAlignment="1" applyProtection="1">
      <alignment horizontal="right"/>
      <protection locked="0" hidden="1"/>
    </xf>
    <xf numFmtId="0" fontId="6" fillId="5" borderId="11" xfId="6" applyFont="1" applyFill="1" applyBorder="1" applyAlignment="1" applyProtection="1">
      <alignment horizontal="center"/>
      <protection locked="0" hidden="1"/>
    </xf>
    <xf numFmtId="0" fontId="6" fillId="5" borderId="11" xfId="6" applyFont="1" applyFill="1" applyBorder="1" applyProtection="1">
      <protection locked="0" hidden="1"/>
    </xf>
    <xf numFmtId="8" fontId="6" fillId="5" borderId="12" xfId="6" applyNumberFormat="1" applyFont="1" applyFill="1" applyBorder="1" applyAlignment="1" applyProtection="1">
      <alignment horizontal="right"/>
      <protection locked="0" hidden="1"/>
    </xf>
    <xf numFmtId="8" fontId="6" fillId="4" borderId="9" xfId="6" applyNumberFormat="1" applyFont="1" applyFill="1" applyBorder="1" applyAlignment="1" applyProtection="1">
      <alignment horizontal="right"/>
      <protection locked="0" hidden="1"/>
    </xf>
    <xf numFmtId="0" fontId="6" fillId="4" borderId="11" xfId="6" applyFont="1" applyFill="1" applyBorder="1" applyAlignment="1" applyProtection="1">
      <alignment horizontal="center"/>
      <protection locked="0" hidden="1"/>
    </xf>
    <xf numFmtId="0" fontId="6" fillId="4" borderId="11" xfId="6" applyFont="1" applyFill="1" applyBorder="1" applyProtection="1">
      <protection locked="0" hidden="1"/>
    </xf>
    <xf numFmtId="8" fontId="6" fillId="4" borderId="11" xfId="6" applyNumberFormat="1" applyFont="1" applyFill="1" applyBorder="1" applyAlignment="1" applyProtection="1">
      <alignment horizontal="right"/>
      <protection locked="0" hidden="1"/>
    </xf>
    <xf numFmtId="8" fontId="6" fillId="4" borderId="12" xfId="6" applyNumberFormat="1" applyFont="1" applyFill="1" applyBorder="1" applyAlignment="1" applyProtection="1">
      <alignment horizontal="right"/>
      <protection locked="0" hidden="1"/>
    </xf>
    <xf numFmtId="0" fontId="6" fillId="4" borderId="2" xfId="6" applyFont="1" applyFill="1" applyBorder="1" applyProtection="1">
      <protection locked="0" hidden="1"/>
    </xf>
    <xf numFmtId="0" fontId="6" fillId="4" borderId="2" xfId="6" applyFont="1" applyFill="1" applyBorder="1" applyAlignment="1" applyProtection="1">
      <alignment horizontal="center"/>
      <protection locked="0" hidden="1"/>
    </xf>
    <xf numFmtId="0" fontId="6" fillId="5" borderId="2" xfId="6" applyFont="1" applyFill="1" applyBorder="1" applyProtection="1">
      <protection locked="0" hidden="1"/>
    </xf>
    <xf numFmtId="0" fontId="6" fillId="5" borderId="2" xfId="6" applyFont="1" applyFill="1" applyBorder="1" applyAlignment="1" applyProtection="1">
      <alignment horizontal="center"/>
      <protection locked="0" hidden="1"/>
    </xf>
    <xf numFmtId="8" fontId="6" fillId="4" borderId="14" xfId="6" applyNumberFormat="1" applyFont="1" applyFill="1" applyBorder="1" applyAlignment="1" applyProtection="1">
      <alignment horizontal="right"/>
      <protection locked="0" hidden="1"/>
    </xf>
    <xf numFmtId="0" fontId="6" fillId="5" borderId="3" xfId="6" applyFont="1" applyFill="1" applyBorder="1" applyProtection="1">
      <protection locked="0" hidden="1"/>
    </xf>
    <xf numFmtId="0" fontId="6" fillId="5" borderId="3" xfId="6" applyFont="1" applyFill="1" applyBorder="1" applyAlignment="1" applyProtection="1">
      <alignment horizontal="center"/>
      <protection locked="0" hidden="1"/>
    </xf>
    <xf numFmtId="0" fontId="6" fillId="5" borderId="11" xfId="6" applyFont="1" applyFill="1" applyBorder="1" applyAlignment="1" applyProtection="1">
      <alignment horizontal="center" vertical="top"/>
      <protection locked="0" hidden="1"/>
    </xf>
    <xf numFmtId="0" fontId="6" fillId="5" borderId="11" xfId="6" applyFont="1" applyFill="1" applyBorder="1" applyAlignment="1" applyProtection="1">
      <alignment horizontal="left" vertical="top"/>
      <protection locked="0" hidden="1"/>
    </xf>
    <xf numFmtId="0" fontId="5" fillId="5" borderId="11" xfId="0" applyFont="1" applyFill="1" applyBorder="1"/>
    <xf numFmtId="8" fontId="6" fillId="5" borderId="16" xfId="6" applyNumberFormat="1" applyFont="1" applyFill="1" applyBorder="1" applyAlignment="1" applyProtection="1">
      <alignment horizontal="right"/>
      <protection locked="0" hidden="1"/>
    </xf>
    <xf numFmtId="8" fontId="6" fillId="5" borderId="14" xfId="6" applyNumberFormat="1" applyFont="1" applyFill="1" applyBorder="1" applyAlignment="1" applyProtection="1">
      <alignment horizontal="right"/>
      <protection locked="0" hidden="1"/>
    </xf>
    <xf numFmtId="0" fontId="0" fillId="0" borderId="0" xfId="0" applyFill="1" applyBorder="1"/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/>
    <xf numFmtId="0" fontId="16" fillId="0" borderId="0" xfId="0" applyFont="1" applyFill="1"/>
    <xf numFmtId="0" fontId="18" fillId="0" borderId="0" xfId="2" applyFont="1" applyAlignment="1" applyProtection="1">
      <alignment vertical="center"/>
    </xf>
    <xf numFmtId="0" fontId="5" fillId="4" borderId="1" xfId="6" applyFont="1" applyFill="1" applyBorder="1" applyAlignment="1" applyProtection="1">
      <alignment horizontal="center"/>
      <protection locked="0" hidden="1"/>
    </xf>
    <xf numFmtId="0" fontId="5" fillId="4" borderId="1" xfId="6" applyFont="1" applyFill="1" applyBorder="1" applyProtection="1">
      <protection locked="0" hidden="1"/>
    </xf>
    <xf numFmtId="8" fontId="5" fillId="4" borderId="1" xfId="6" applyNumberFormat="1" applyFont="1" applyFill="1" applyBorder="1" applyAlignment="1" applyProtection="1">
      <alignment horizontal="right"/>
      <protection locked="0" hidden="1"/>
    </xf>
    <xf numFmtId="8" fontId="5" fillId="5" borderId="9" xfId="6" applyNumberFormat="1" applyFont="1" applyFill="1" applyBorder="1" applyAlignment="1" applyProtection="1">
      <alignment horizontal="right"/>
      <protection locked="0" hidden="1"/>
    </xf>
    <xf numFmtId="0" fontId="5" fillId="5" borderId="1" xfId="6" applyFont="1" applyFill="1" applyBorder="1" applyAlignment="1" applyProtection="1">
      <alignment horizontal="center"/>
      <protection locked="0" hidden="1"/>
    </xf>
    <xf numFmtId="0" fontId="5" fillId="5" borderId="1" xfId="6" applyFont="1" applyFill="1" applyBorder="1" applyProtection="1">
      <protection locked="0" hidden="1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right"/>
    </xf>
    <xf numFmtId="0" fontId="0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165" fontId="6" fillId="5" borderId="1" xfId="1" applyNumberFormat="1" applyFont="1" applyFill="1" applyBorder="1" applyAlignment="1">
      <alignment horizontal="right"/>
    </xf>
    <xf numFmtId="165" fontId="6" fillId="5" borderId="11" xfId="1" applyNumberFormat="1" applyFont="1" applyFill="1" applyBorder="1" applyAlignment="1">
      <alignment horizontal="right"/>
    </xf>
    <xf numFmtId="165" fontId="5" fillId="5" borderId="1" xfId="1" applyNumberFormat="1" applyFont="1" applyFill="1" applyBorder="1" applyAlignment="1">
      <alignment horizontal="right"/>
    </xf>
    <xf numFmtId="0" fontId="14" fillId="0" borderId="0" xfId="0" applyFont="1" applyFill="1"/>
    <xf numFmtId="165" fontId="10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6" fillId="4" borderId="1" xfId="6" applyNumberFormat="1" applyFont="1" applyFill="1" applyBorder="1" applyAlignment="1" applyProtection="1">
      <alignment horizontal="right"/>
      <protection locked="0" hidden="1"/>
    </xf>
    <xf numFmtId="165" fontId="6" fillId="4" borderId="9" xfId="6" applyNumberFormat="1" applyFont="1" applyFill="1" applyBorder="1" applyAlignment="1" applyProtection="1">
      <alignment horizontal="right"/>
      <protection locked="0" hidden="1"/>
    </xf>
    <xf numFmtId="165" fontId="6" fillId="4" borderId="11" xfId="6" applyNumberFormat="1" applyFont="1" applyFill="1" applyBorder="1" applyAlignment="1" applyProtection="1">
      <alignment horizontal="right"/>
      <protection locked="0" hidden="1"/>
    </xf>
    <xf numFmtId="165" fontId="6" fillId="4" borderId="12" xfId="6" applyNumberFormat="1" applyFont="1" applyFill="1" applyBorder="1" applyAlignment="1" applyProtection="1">
      <alignment horizontal="right"/>
      <protection locked="0" hidden="1"/>
    </xf>
    <xf numFmtId="0" fontId="0" fillId="0" borderId="0" xfId="0" applyBorder="1"/>
    <xf numFmtId="0" fontId="0" fillId="0" borderId="0" xfId="0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165" fontId="6" fillId="5" borderId="9" xfId="6" applyNumberFormat="1" applyFont="1" applyFill="1" applyBorder="1" applyAlignment="1" applyProtection="1">
      <alignment horizontal="right"/>
      <protection locked="0" hidden="1"/>
    </xf>
    <xf numFmtId="165" fontId="6" fillId="5" borderId="12" xfId="6" applyNumberFormat="1" applyFont="1" applyFill="1" applyBorder="1" applyAlignment="1" applyProtection="1">
      <alignment horizontal="right"/>
      <protection locked="0" hidden="1"/>
    </xf>
    <xf numFmtId="0" fontId="7" fillId="0" borderId="0" xfId="0" applyFont="1" applyFill="1"/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 applyAlignment="1">
      <alignment horizontal="right"/>
    </xf>
    <xf numFmtId="165" fontId="6" fillId="5" borderId="1" xfId="6" applyNumberFormat="1" applyFont="1" applyFill="1" applyBorder="1" applyAlignment="1" applyProtection="1">
      <alignment horizontal="right"/>
      <protection locked="0" hidden="1"/>
    </xf>
    <xf numFmtId="165" fontId="6" fillId="5" borderId="11" xfId="6" applyNumberFormat="1" applyFont="1" applyFill="1" applyBorder="1" applyAlignment="1" applyProtection="1">
      <alignment horizontal="right"/>
      <protection locked="0" hidden="1"/>
    </xf>
    <xf numFmtId="1" fontId="6" fillId="5" borderId="8" xfId="0" applyNumberFormat="1" applyFont="1" applyFill="1" applyBorder="1" applyAlignment="1">
      <alignment horizontal="center" vertical="center"/>
    </xf>
    <xf numFmtId="1" fontId="6" fillId="5" borderId="1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4" borderId="8" xfId="6" applyFont="1" applyFill="1" applyBorder="1" applyAlignment="1" applyProtection="1">
      <alignment horizontal="center"/>
      <protection locked="0" hidden="1"/>
    </xf>
    <xf numFmtId="0" fontId="6" fillId="4" borderId="10" xfId="6" applyFont="1" applyFill="1" applyBorder="1" applyAlignment="1" applyProtection="1">
      <alignment horizontal="center"/>
      <protection locked="0" hidden="1"/>
    </xf>
    <xf numFmtId="0" fontId="6" fillId="5" borderId="8" xfId="6" applyFont="1" applyFill="1" applyBorder="1" applyAlignment="1" applyProtection="1">
      <alignment horizontal="center"/>
      <protection locked="0" hidden="1"/>
    </xf>
    <xf numFmtId="0" fontId="6" fillId="5" borderId="10" xfId="6" applyFont="1" applyFill="1" applyBorder="1" applyAlignment="1" applyProtection="1">
      <alignment horizontal="center"/>
      <protection locked="0" hidden="1"/>
    </xf>
    <xf numFmtId="0" fontId="6" fillId="4" borderId="15" xfId="6" applyFont="1" applyFill="1" applyBorder="1" applyAlignment="1" applyProtection="1">
      <alignment horizontal="center"/>
      <protection locked="0" hidden="1"/>
    </xf>
    <xf numFmtId="0" fontId="6" fillId="4" borderId="13" xfId="6" applyFont="1" applyFill="1" applyBorder="1" applyAlignment="1" applyProtection="1">
      <alignment horizontal="center"/>
      <protection locked="0" hidden="1"/>
    </xf>
    <xf numFmtId="0" fontId="6" fillId="5" borderId="13" xfId="6" applyFont="1" applyFill="1" applyBorder="1" applyAlignment="1" applyProtection="1">
      <alignment horizontal="center"/>
      <protection locked="0" hidden="1"/>
    </xf>
    <xf numFmtId="0" fontId="6" fillId="5" borderId="15" xfId="6" applyFont="1" applyFill="1" applyBorder="1" applyAlignment="1" applyProtection="1">
      <alignment horizontal="center"/>
      <protection locked="0" hidden="1"/>
    </xf>
    <xf numFmtId="0" fontId="6" fillId="5" borderId="8" xfId="6" applyFont="1" applyFill="1" applyBorder="1" applyAlignment="1" applyProtection="1">
      <alignment horizontal="center" vertical="top"/>
      <protection locked="0" hidden="1"/>
    </xf>
    <xf numFmtId="0" fontId="6" fillId="5" borderId="10" xfId="6" applyFont="1" applyFill="1" applyBorder="1" applyAlignment="1" applyProtection="1">
      <alignment horizontal="center" vertical="top"/>
      <protection locked="0" hidden="1"/>
    </xf>
    <xf numFmtId="0" fontId="5" fillId="4" borderId="8" xfId="6" applyFont="1" applyFill="1" applyBorder="1" applyAlignment="1" applyProtection="1">
      <alignment horizontal="center"/>
      <protection locked="0" hidden="1"/>
    </xf>
    <xf numFmtId="1" fontId="5" fillId="5" borderId="8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15" fillId="0" borderId="27" xfId="2" applyFont="1" applyBorder="1" applyAlignment="1" applyProtection="1">
      <alignment vertical="top"/>
    </xf>
    <xf numFmtId="0" fontId="21" fillId="0" borderId="0" xfId="0" applyFont="1" applyAlignment="1">
      <alignment horizontal="center"/>
    </xf>
    <xf numFmtId="0" fontId="7" fillId="2" borderId="5" xfId="0" applyFont="1" applyFill="1" applyBorder="1" applyAlignment="1"/>
    <xf numFmtId="0" fontId="7" fillId="2" borderId="6" xfId="0" applyFont="1" applyFill="1" applyBorder="1" applyAlignment="1"/>
    <xf numFmtId="0" fontId="7" fillId="2" borderId="7" xfId="0" applyFont="1" applyFill="1" applyBorder="1" applyAlignment="1"/>
    <xf numFmtId="0" fontId="9" fillId="2" borderId="5" xfId="6" applyFont="1" applyFill="1" applyBorder="1" applyAlignment="1" applyProtection="1">
      <protection locked="0" hidden="1"/>
    </xf>
    <xf numFmtId="0" fontId="9" fillId="2" borderId="6" xfId="6" applyFont="1" applyFill="1" applyBorder="1" applyAlignment="1" applyProtection="1">
      <protection locked="0" hidden="1"/>
    </xf>
    <xf numFmtId="0" fontId="9" fillId="2" borderId="7" xfId="6" applyFont="1" applyFill="1" applyBorder="1" applyAlignment="1" applyProtection="1">
      <protection locked="0" hidden="1"/>
    </xf>
    <xf numFmtId="0" fontId="9" fillId="2" borderId="5" xfId="6" applyFont="1" applyFill="1" applyBorder="1" applyAlignment="1" applyProtection="1">
      <alignment vertical="top"/>
      <protection locked="0" hidden="1"/>
    </xf>
    <xf numFmtId="0" fontId="9" fillId="2" borderId="6" xfId="6" applyFont="1" applyFill="1" applyBorder="1" applyAlignment="1" applyProtection="1">
      <alignment vertical="top"/>
      <protection locked="0" hidden="1"/>
    </xf>
    <xf numFmtId="0" fontId="9" fillId="2" borderId="7" xfId="6" applyFont="1" applyFill="1" applyBorder="1" applyAlignment="1" applyProtection="1">
      <alignment vertical="top"/>
      <protection locked="0" hidden="1"/>
    </xf>
    <xf numFmtId="1" fontId="9" fillId="2" borderId="5" xfId="0" applyNumberFormat="1" applyFont="1" applyFill="1" applyBorder="1" applyAlignment="1">
      <alignment vertical="center"/>
    </xf>
    <xf numFmtId="1" fontId="9" fillId="2" borderId="6" xfId="0" applyNumberFormat="1" applyFont="1" applyFill="1" applyBorder="1" applyAlignment="1">
      <alignment vertical="center"/>
    </xf>
    <xf numFmtId="1" fontId="9" fillId="2" borderId="7" xfId="0" applyNumberFormat="1" applyFont="1" applyFill="1" applyBorder="1" applyAlignment="1">
      <alignment vertical="center"/>
    </xf>
    <xf numFmtId="0" fontId="10" fillId="0" borderId="0" xfId="0" applyFont="1" applyAlignment="1">
      <alignment horizontal="left"/>
    </xf>
    <xf numFmtId="0" fontId="0" fillId="0" borderId="0" xfId="0"/>
    <xf numFmtId="0" fontId="0" fillId="0" borderId="0" xfId="0"/>
    <xf numFmtId="0" fontId="9" fillId="2" borderId="5" xfId="6" applyFont="1" applyFill="1" applyBorder="1" applyAlignment="1" applyProtection="1">
      <protection locked="0" hidden="1"/>
    </xf>
    <xf numFmtId="0" fontId="9" fillId="2" borderId="6" xfId="6" applyFont="1" applyFill="1" applyBorder="1" applyAlignment="1" applyProtection="1">
      <protection locked="0" hidden="1"/>
    </xf>
    <xf numFmtId="0" fontId="9" fillId="2" borderId="7" xfId="6" applyFont="1" applyFill="1" applyBorder="1" applyAlignment="1" applyProtection="1">
      <protection locked="0" hidden="1"/>
    </xf>
    <xf numFmtId="0" fontId="7" fillId="2" borderId="5" xfId="6" applyFont="1" applyFill="1" applyBorder="1" applyAlignment="1" applyProtection="1">
      <protection locked="0" hidden="1"/>
    </xf>
    <xf numFmtId="0" fontId="5" fillId="2" borderId="6" xfId="6" applyFont="1" applyFill="1" applyBorder="1" applyAlignment="1" applyProtection="1">
      <protection locked="0" hidden="1"/>
    </xf>
    <xf numFmtId="0" fontId="5" fillId="2" borderId="7" xfId="6" applyFont="1" applyFill="1" applyBorder="1" applyAlignment="1" applyProtection="1">
      <protection locked="0" hidden="1"/>
    </xf>
    <xf numFmtId="1" fontId="5" fillId="4" borderId="1" xfId="6" applyNumberFormat="1" applyFont="1" applyFill="1" applyBorder="1" applyAlignment="1" applyProtection="1">
      <alignment horizontal="center"/>
      <protection locked="0" hidden="1"/>
    </xf>
    <xf numFmtId="8" fontId="5" fillId="4" borderId="9" xfId="6" applyNumberFormat="1" applyFont="1" applyFill="1" applyBorder="1" applyAlignment="1" applyProtection="1">
      <alignment horizontal="right"/>
      <protection locked="0" hidden="1"/>
    </xf>
    <xf numFmtId="0" fontId="5" fillId="4" borderId="10" xfId="6" applyFont="1" applyFill="1" applyBorder="1" applyAlignment="1" applyProtection="1">
      <alignment horizontal="center"/>
      <protection locked="0" hidden="1"/>
    </xf>
    <xf numFmtId="0" fontId="5" fillId="4" borderId="11" xfId="6" applyFont="1" applyFill="1" applyBorder="1" applyAlignment="1" applyProtection="1">
      <alignment horizontal="center"/>
      <protection locked="0" hidden="1"/>
    </xf>
    <xf numFmtId="1" fontId="5" fillId="4" borderId="11" xfId="6" applyNumberFormat="1" applyFont="1" applyFill="1" applyBorder="1" applyAlignment="1" applyProtection="1">
      <alignment horizontal="center"/>
      <protection locked="0" hidden="1"/>
    </xf>
    <xf numFmtId="0" fontId="5" fillId="4" borderId="11" xfId="6" applyFont="1" applyFill="1" applyBorder="1" applyProtection="1">
      <protection locked="0" hidden="1"/>
    </xf>
    <xf numFmtId="8" fontId="5" fillId="4" borderId="11" xfId="6" applyNumberFormat="1" applyFont="1" applyFill="1" applyBorder="1" applyAlignment="1" applyProtection="1">
      <alignment horizontal="right"/>
      <protection locked="0" hidden="1"/>
    </xf>
    <xf numFmtId="8" fontId="5" fillId="4" borderId="12" xfId="6" applyNumberFormat="1" applyFont="1" applyFill="1" applyBorder="1" applyAlignment="1" applyProtection="1">
      <alignment horizontal="right"/>
      <protection locked="0" hidden="1"/>
    </xf>
    <xf numFmtId="1" fontId="5" fillId="5" borderId="10" xfId="0" applyNumberFormat="1" applyFont="1" applyFill="1" applyBorder="1" applyAlignment="1">
      <alignment horizontal="center" vertical="center"/>
    </xf>
    <xf numFmtId="0" fontId="5" fillId="5" borderId="11" xfId="6" applyFont="1" applyFill="1" applyBorder="1" applyAlignment="1" applyProtection="1">
      <alignment horizontal="center"/>
      <protection locked="0" hidden="1"/>
    </xf>
    <xf numFmtId="0" fontId="5" fillId="5" borderId="11" xfId="6" applyFont="1" applyFill="1" applyBorder="1" applyProtection="1">
      <protection locked="0" hidden="1"/>
    </xf>
    <xf numFmtId="165" fontId="5" fillId="5" borderId="11" xfId="1" applyNumberFormat="1" applyFont="1" applyFill="1" applyBorder="1" applyAlignment="1">
      <alignment horizontal="right"/>
    </xf>
    <xf numFmtId="8" fontId="5" fillId="5" borderId="12" xfId="6" applyNumberFormat="1" applyFont="1" applyFill="1" applyBorder="1" applyAlignment="1" applyProtection="1">
      <alignment horizontal="right"/>
      <protection locked="0" hidden="1"/>
    </xf>
    <xf numFmtId="0" fontId="6" fillId="4" borderId="1" xfId="6" applyFont="1" applyFill="1" applyBorder="1" applyAlignment="1" applyProtection="1">
      <alignment horizontal="left"/>
      <protection locked="0" hidden="1"/>
    </xf>
    <xf numFmtId="44" fontId="6" fillId="4" borderId="1" xfId="1" applyFont="1" applyFill="1" applyBorder="1" applyAlignment="1" applyProtection="1">
      <alignment horizontal="center"/>
      <protection locked="0" hidden="1"/>
    </xf>
    <xf numFmtId="44" fontId="6" fillId="4" borderId="9" xfId="1" applyFont="1" applyFill="1" applyBorder="1" applyAlignment="1" applyProtection="1">
      <alignment horizontal="center"/>
      <protection locked="0" hidden="1"/>
    </xf>
    <xf numFmtId="0" fontId="6" fillId="4" borderId="11" xfId="6" applyFont="1" applyFill="1" applyBorder="1" applyAlignment="1" applyProtection="1">
      <alignment horizontal="left"/>
      <protection locked="0" hidden="1"/>
    </xf>
    <xf numFmtId="0" fontId="6" fillId="2" borderId="6" xfId="6" applyFont="1" applyFill="1" applyBorder="1" applyAlignment="1" applyProtection="1">
      <protection locked="0" hidden="1"/>
    </xf>
    <xf numFmtId="0" fontId="6" fillId="2" borderId="7" xfId="6" applyFont="1" applyFill="1" applyBorder="1" applyAlignment="1" applyProtection="1">
      <protection locked="0" hidden="1"/>
    </xf>
    <xf numFmtId="0" fontId="6" fillId="5" borderId="1" xfId="0" applyFont="1" applyFill="1" applyBorder="1" applyAlignment="1">
      <alignment horizontal="center"/>
    </xf>
    <xf numFmtId="0" fontId="6" fillId="5" borderId="11" xfId="0" applyFont="1" applyFill="1" applyBorder="1"/>
    <xf numFmtId="0" fontId="6" fillId="5" borderId="11" xfId="0" applyFont="1" applyFill="1" applyBorder="1" applyAlignment="1">
      <alignment horizontal="center"/>
    </xf>
    <xf numFmtId="0" fontId="6" fillId="0" borderId="0" xfId="0" applyFont="1" applyFill="1"/>
    <xf numFmtId="0" fontId="15" fillId="0" borderId="0" xfId="2" applyFont="1" applyBorder="1" applyAlignment="1" applyProtection="1">
      <alignment horizontal="center"/>
    </xf>
    <xf numFmtId="4" fontId="25" fillId="7" borderId="0" xfId="0" applyNumberFormat="1" applyFont="1" applyFill="1" applyBorder="1" applyProtection="1">
      <protection locked="0" hidden="1"/>
    </xf>
    <xf numFmtId="1" fontId="25" fillId="7" borderId="0" xfId="0" applyNumberFormat="1" applyFont="1" applyFill="1" applyBorder="1" applyProtection="1">
      <protection locked="0" hidden="1"/>
    </xf>
    <xf numFmtId="4" fontId="40" fillId="7" borderId="0" xfId="0" applyNumberFormat="1" applyFont="1" applyFill="1" applyBorder="1" applyProtection="1">
      <protection locked="0" hidden="1"/>
    </xf>
    <xf numFmtId="0" fontId="37" fillId="7" borderId="0" xfId="0" applyFont="1" applyFill="1" applyBorder="1" applyProtection="1">
      <protection locked="0" hidden="1"/>
    </xf>
    <xf numFmtId="0" fontId="38" fillId="0" borderId="0" xfId="0" applyFont="1" applyFill="1" applyBorder="1" applyProtection="1">
      <protection locked="0" hidden="1"/>
    </xf>
    <xf numFmtId="0" fontId="38" fillId="7" borderId="0" xfId="0" applyFont="1" applyFill="1" applyBorder="1" applyProtection="1">
      <protection locked="0" hidden="1"/>
    </xf>
    <xf numFmtId="4" fontId="25" fillId="7" borderId="38" xfId="0" applyNumberFormat="1" applyFont="1" applyFill="1" applyBorder="1" applyProtection="1">
      <protection locked="0" hidden="1"/>
    </xf>
    <xf numFmtId="4" fontId="35" fillId="7" borderId="0" xfId="0" applyNumberFormat="1" applyFont="1" applyFill="1" applyBorder="1" applyAlignment="1" applyProtection="1">
      <protection locked="0" hidden="1"/>
    </xf>
    <xf numFmtId="4" fontId="25" fillId="0" borderId="0" xfId="0" applyNumberFormat="1" applyFont="1" applyFill="1" applyBorder="1" applyProtection="1">
      <protection locked="0" hidden="1"/>
    </xf>
    <xf numFmtId="1" fontId="25" fillId="0" borderId="0" xfId="0" applyNumberFormat="1" applyFont="1" applyFill="1" applyBorder="1" applyProtection="1">
      <protection locked="0" hidden="1"/>
    </xf>
    <xf numFmtId="4" fontId="39" fillId="0" borderId="0" xfId="0" applyNumberFormat="1" applyFont="1" applyFill="1" applyBorder="1" applyProtection="1">
      <protection locked="0" hidden="1"/>
    </xf>
    <xf numFmtId="0" fontId="0" fillId="0" borderId="0" xfId="0" applyFill="1" applyBorder="1" applyProtection="1">
      <protection locked="0" hidden="1"/>
    </xf>
    <xf numFmtId="4" fontId="27" fillId="0" borderId="0" xfId="0" applyNumberFormat="1" applyFont="1" applyFill="1" applyBorder="1" applyAlignment="1" applyProtection="1">
      <alignment horizontal="center" vertical="center"/>
      <protection locked="0" hidden="1"/>
    </xf>
    <xf numFmtId="0" fontId="33" fillId="2" borderId="32" xfId="0" applyFont="1" applyFill="1" applyBorder="1" applyAlignment="1" applyProtection="1">
      <alignment horizontal="center" vertical="top" wrapText="1"/>
      <protection locked="0" hidden="1"/>
    </xf>
    <xf numFmtId="168" fontId="33" fillId="2" borderId="32" xfId="1" applyNumberFormat="1" applyFont="1" applyFill="1" applyBorder="1" applyAlignment="1" applyProtection="1">
      <alignment horizontal="center" vertical="top" wrapText="1"/>
      <protection locked="0" hidden="1"/>
    </xf>
    <xf numFmtId="0" fontId="33" fillId="2" borderId="32" xfId="0" applyFont="1" applyFill="1" applyBorder="1" applyAlignment="1" applyProtection="1">
      <alignment vertical="top" wrapText="1"/>
      <protection locked="0" hidden="1"/>
    </xf>
    <xf numFmtId="0" fontId="33" fillId="2" borderId="33" xfId="0" applyFont="1" applyFill="1" applyBorder="1" applyAlignment="1" applyProtection="1">
      <alignment vertical="top" wrapText="1"/>
      <protection locked="0" hidden="1"/>
    </xf>
    <xf numFmtId="0" fontId="0" fillId="0" borderId="0" xfId="0" applyProtection="1">
      <protection locked="0" hidden="1"/>
    </xf>
    <xf numFmtId="4" fontId="25" fillId="3" borderId="29" xfId="0" applyNumberFormat="1" applyFont="1" applyFill="1" applyBorder="1" applyProtection="1">
      <protection locked="0" hidden="1"/>
    </xf>
    <xf numFmtId="4" fontId="25" fillId="3" borderId="0" xfId="0" applyNumberFormat="1" applyFont="1" applyFill="1" applyBorder="1" applyAlignment="1" applyProtection="1">
      <alignment horizontal="center"/>
      <protection locked="0" hidden="1"/>
    </xf>
    <xf numFmtId="4" fontId="28" fillId="3" borderId="0" xfId="0" applyNumberFormat="1" applyFont="1" applyFill="1" applyBorder="1" applyAlignment="1" applyProtection="1">
      <alignment horizontal="right"/>
      <protection locked="0" hidden="1"/>
    </xf>
    <xf numFmtId="4" fontId="28" fillId="3" borderId="0" xfId="0" applyNumberFormat="1" applyFont="1" applyFill="1" applyBorder="1" applyProtection="1">
      <protection locked="0" hidden="1"/>
    </xf>
    <xf numFmtId="4" fontId="28" fillId="3" borderId="34" xfId="0" applyNumberFormat="1" applyFont="1" applyFill="1" applyBorder="1" applyProtection="1">
      <protection locked="0" hidden="1"/>
    </xf>
    <xf numFmtId="4" fontId="28" fillId="0" borderId="0" xfId="0" applyNumberFormat="1" applyFont="1" applyFill="1" applyBorder="1" applyProtection="1">
      <protection locked="0" hidden="1"/>
    </xf>
    <xf numFmtId="0" fontId="33" fillId="2" borderId="29" xfId="0" applyFont="1" applyFill="1" applyBorder="1" applyAlignment="1" applyProtection="1">
      <alignment vertical="top" wrapText="1"/>
      <protection locked="0" hidden="1"/>
    </xf>
    <xf numFmtId="0" fontId="33" fillId="2" borderId="0" xfId="0" applyFont="1" applyFill="1" applyBorder="1" applyAlignment="1" applyProtection="1">
      <alignment vertical="top" wrapText="1"/>
      <protection locked="0" hidden="1"/>
    </xf>
    <xf numFmtId="0" fontId="33" fillId="2" borderId="0" xfId="0" applyFont="1" applyFill="1" applyBorder="1" applyAlignment="1" applyProtection="1">
      <alignment horizontal="center" vertical="top" wrapText="1"/>
      <protection locked="0" hidden="1"/>
    </xf>
    <xf numFmtId="168" fontId="33" fillId="2" borderId="0" xfId="1" applyNumberFormat="1" applyFont="1" applyFill="1" applyBorder="1" applyAlignment="1" applyProtection="1">
      <alignment horizontal="center" vertical="top" wrapText="1"/>
      <protection locked="0" hidden="1"/>
    </xf>
    <xf numFmtId="49" fontId="34" fillId="2" borderId="0" xfId="0" applyNumberFormat="1" applyFont="1" applyFill="1" applyBorder="1" applyAlignment="1" applyProtection="1">
      <alignment vertical="center" wrapText="1"/>
      <protection locked="0" hidden="1"/>
    </xf>
    <xf numFmtId="0" fontId="33" fillId="2" borderId="34" xfId="0" applyFont="1" applyFill="1" applyBorder="1" applyAlignment="1" applyProtection="1">
      <alignment vertical="top" wrapText="1"/>
      <protection locked="0" hidden="1"/>
    </xf>
    <xf numFmtId="4" fontId="28" fillId="3" borderId="29" xfId="0" applyNumberFormat="1" applyFont="1" applyFill="1" applyBorder="1" applyProtection="1">
      <protection locked="0" hidden="1"/>
    </xf>
    <xf numFmtId="4" fontId="28" fillId="3" borderId="0" xfId="0" applyNumberFormat="1" applyFont="1" applyFill="1" applyBorder="1" applyAlignment="1" applyProtection="1">
      <alignment horizontal="right" vertical="center"/>
      <protection locked="0" hidden="1"/>
    </xf>
    <xf numFmtId="4" fontId="25" fillId="3" borderId="34" xfId="0" applyNumberFormat="1" applyFont="1" applyFill="1" applyBorder="1" applyProtection="1">
      <protection locked="0" hidden="1"/>
    </xf>
    <xf numFmtId="0" fontId="34" fillId="0" borderId="31" xfId="0" applyFont="1" applyBorder="1" applyAlignment="1" applyProtection="1">
      <alignment horizontal="center" vertical="top" wrapText="1"/>
      <protection locked="0" hidden="1"/>
    </xf>
    <xf numFmtId="1" fontId="34" fillId="0" borderId="32" xfId="0" applyNumberFormat="1" applyFont="1" applyBorder="1" applyAlignment="1" applyProtection="1">
      <alignment horizontal="center" vertical="top" wrapText="1"/>
      <protection locked="0" hidden="1"/>
    </xf>
    <xf numFmtId="8" fontId="34" fillId="0" borderId="32" xfId="0" applyNumberFormat="1" applyFont="1" applyBorder="1" applyAlignment="1" applyProtection="1">
      <alignment horizontal="right" vertical="top" wrapText="1"/>
      <protection locked="0" hidden="1"/>
    </xf>
    <xf numFmtId="8" fontId="34" fillId="0" borderId="33" xfId="0" applyNumberFormat="1" applyFont="1" applyBorder="1" applyAlignment="1" applyProtection="1">
      <alignment horizontal="right" vertical="top" wrapText="1"/>
      <protection locked="0" hidden="1"/>
    </xf>
    <xf numFmtId="1" fontId="28" fillId="3" borderId="0" xfId="0" applyNumberFormat="1" applyFont="1" applyFill="1" applyBorder="1" applyAlignment="1" applyProtection="1">
      <alignment vertical="center"/>
      <protection locked="0" hidden="1"/>
    </xf>
    <xf numFmtId="167" fontId="25" fillId="3" borderId="0" xfId="4" applyNumberFormat="1" applyFont="1" applyFill="1" applyBorder="1" applyAlignment="1" applyProtection="1">
      <alignment horizontal="right" vertical="center"/>
      <protection locked="0" hidden="1"/>
    </xf>
    <xf numFmtId="167" fontId="25" fillId="3" borderId="0" xfId="4" applyNumberFormat="1" applyFont="1" applyFill="1" applyBorder="1" applyAlignment="1" applyProtection="1">
      <alignment vertical="center"/>
      <protection locked="0" hidden="1"/>
    </xf>
    <xf numFmtId="0" fontId="0" fillId="0" borderId="29" xfId="0" applyBorder="1" applyProtection="1">
      <protection locked="0" hidden="1"/>
    </xf>
    <xf numFmtId="0" fontId="0" fillId="0" borderId="0" xfId="0" applyBorder="1" applyProtection="1">
      <protection locked="0" hidden="1"/>
    </xf>
    <xf numFmtId="0" fontId="0" fillId="0" borderId="34" xfId="0" applyBorder="1" applyProtection="1">
      <protection locked="0" hidden="1"/>
    </xf>
    <xf numFmtId="4" fontId="29" fillId="0" borderId="0" xfId="0" applyNumberFormat="1" applyFont="1" applyFill="1" applyBorder="1" applyProtection="1">
      <protection locked="0" hidden="1"/>
    </xf>
    <xf numFmtId="0" fontId="0" fillId="0" borderId="35" xfId="0" applyBorder="1" applyProtection="1">
      <protection locked="0" hidden="1"/>
    </xf>
    <xf numFmtId="0" fontId="0" fillId="0" borderId="4" xfId="0" applyBorder="1" applyProtection="1">
      <protection locked="0" hidden="1"/>
    </xf>
    <xf numFmtId="0" fontId="0" fillId="0" borderId="36" xfId="0" applyBorder="1" applyProtection="1">
      <protection locked="0" hidden="1"/>
    </xf>
    <xf numFmtId="1" fontId="28" fillId="3" borderId="0" xfId="0" applyNumberFormat="1" applyFont="1" applyFill="1" applyBorder="1" applyAlignment="1" applyProtection="1">
      <alignment horizontal="right" vertical="center"/>
      <protection locked="0" hidden="1"/>
    </xf>
    <xf numFmtId="4" fontId="25" fillId="3" borderId="0" xfId="0" applyNumberFormat="1" applyFont="1" applyFill="1" applyBorder="1" applyAlignment="1" applyProtection="1">
      <alignment vertical="center"/>
      <protection locked="0" hidden="1"/>
    </xf>
    <xf numFmtId="166" fontId="25" fillId="3" borderId="0" xfId="4" applyNumberFormat="1" applyFont="1" applyFill="1" applyBorder="1" applyAlignment="1" applyProtection="1">
      <alignment horizontal="right" vertical="center"/>
      <protection locked="0" hidden="1"/>
    </xf>
    <xf numFmtId="166" fontId="25" fillId="3" borderId="0" xfId="4" applyNumberFormat="1" applyFont="1" applyFill="1" applyBorder="1" applyAlignment="1" applyProtection="1">
      <alignment vertical="center"/>
      <protection locked="0" hidden="1"/>
    </xf>
    <xf numFmtId="3" fontId="30" fillId="3" borderId="0" xfId="0" applyNumberFormat="1" applyFont="1" applyFill="1" applyBorder="1" applyAlignment="1" applyProtection="1">
      <alignment vertical="center"/>
      <protection locked="0" hidden="1"/>
    </xf>
    <xf numFmtId="170" fontId="31" fillId="3" borderId="0" xfId="4" applyNumberFormat="1" applyFont="1" applyFill="1" applyBorder="1" applyAlignment="1" applyProtection="1">
      <alignment vertical="center"/>
      <protection locked="0" hidden="1"/>
    </xf>
    <xf numFmtId="1" fontId="32" fillId="3" borderId="0" xfId="0" applyNumberFormat="1" applyFont="1" applyFill="1" applyBorder="1" applyAlignment="1" applyProtection="1">
      <alignment horizontal="right" vertical="center"/>
      <protection locked="0" hidden="1"/>
    </xf>
    <xf numFmtId="4" fontId="25" fillId="0" borderId="0" xfId="0" applyNumberFormat="1" applyFont="1" applyFill="1" applyProtection="1">
      <protection locked="0" hidden="1"/>
    </xf>
    <xf numFmtId="4" fontId="25" fillId="3" borderId="0" xfId="0" applyNumberFormat="1" applyFont="1" applyFill="1" applyBorder="1" applyProtection="1">
      <protection locked="0" hidden="1"/>
    </xf>
    <xf numFmtId="1" fontId="25" fillId="3" borderId="0" xfId="0" applyNumberFormat="1" applyFont="1" applyFill="1" applyBorder="1" applyProtection="1">
      <protection locked="0" hidden="1"/>
    </xf>
    <xf numFmtId="0" fontId="0" fillId="0" borderId="0" xfId="0" applyFill="1" applyProtection="1">
      <protection locked="0" hidden="1"/>
    </xf>
    <xf numFmtId="4" fontId="25" fillId="3" borderId="35" xfId="0" applyNumberFormat="1" applyFont="1" applyFill="1" applyBorder="1" applyProtection="1">
      <protection locked="0" hidden="1"/>
    </xf>
    <xf numFmtId="1" fontId="25" fillId="3" borderId="4" xfId="0" applyNumberFormat="1" applyFont="1" applyFill="1" applyBorder="1" applyProtection="1">
      <protection locked="0" hidden="1"/>
    </xf>
    <xf numFmtId="4" fontId="25" fillId="3" borderId="4" xfId="0" applyNumberFormat="1" applyFont="1" applyFill="1" applyBorder="1" applyProtection="1">
      <protection locked="0" hidden="1"/>
    </xf>
    <xf numFmtId="4" fontId="25" fillId="3" borderId="36" xfId="0" applyNumberFormat="1" applyFont="1" applyFill="1" applyBorder="1" applyProtection="1">
      <protection locked="0" hidden="1"/>
    </xf>
    <xf numFmtId="4" fontId="25" fillId="6" borderId="29" xfId="0" applyNumberFormat="1" applyFont="1" applyFill="1" applyBorder="1" applyProtection="1">
      <protection locked="0" hidden="1"/>
    </xf>
    <xf numFmtId="4" fontId="25" fillId="6" borderId="0" xfId="0" applyNumberFormat="1" applyFont="1" applyFill="1" applyBorder="1" applyAlignment="1" applyProtection="1">
      <alignment horizontal="center"/>
      <protection locked="0" hidden="1"/>
    </xf>
    <xf numFmtId="4" fontId="28" fillId="6" borderId="0" xfId="0" applyNumberFormat="1" applyFont="1" applyFill="1" applyBorder="1" applyAlignment="1" applyProtection="1">
      <alignment horizontal="right"/>
      <protection locked="0" hidden="1"/>
    </xf>
    <xf numFmtId="4" fontId="28" fillId="6" borderId="0" xfId="0" applyNumberFormat="1" applyFont="1" applyFill="1" applyBorder="1" applyProtection="1">
      <protection locked="0" hidden="1"/>
    </xf>
    <xf numFmtId="4" fontId="28" fillId="6" borderId="34" xfId="0" applyNumberFormat="1" applyFont="1" applyFill="1" applyBorder="1" applyProtection="1">
      <protection locked="0" hidden="1"/>
    </xf>
    <xf numFmtId="4" fontId="28" fillId="6" borderId="29" xfId="0" applyNumberFormat="1" applyFont="1" applyFill="1" applyBorder="1" applyProtection="1">
      <protection locked="0" hidden="1"/>
    </xf>
    <xf numFmtId="4" fontId="28" fillId="6" borderId="0" xfId="0" applyNumberFormat="1" applyFont="1" applyFill="1" applyBorder="1" applyAlignment="1" applyProtection="1">
      <alignment horizontal="right" vertical="center"/>
      <protection locked="0" hidden="1"/>
    </xf>
    <xf numFmtId="4" fontId="25" fillId="6" borderId="34" xfId="0" applyNumberFormat="1" applyFont="1" applyFill="1" applyBorder="1" applyProtection="1">
      <protection locked="0" hidden="1"/>
    </xf>
    <xf numFmtId="1" fontId="28" fillId="6" borderId="0" xfId="0" applyNumberFormat="1" applyFont="1" applyFill="1" applyBorder="1" applyAlignment="1" applyProtection="1">
      <alignment vertical="center"/>
      <protection locked="0" hidden="1"/>
    </xf>
    <xf numFmtId="167" fontId="25" fillId="6" borderId="0" xfId="4" applyNumberFormat="1" applyFont="1" applyFill="1" applyBorder="1" applyAlignment="1" applyProtection="1">
      <alignment horizontal="right" vertical="center"/>
      <protection locked="0" hidden="1"/>
    </xf>
    <xf numFmtId="1" fontId="28" fillId="6" borderId="0" xfId="0" applyNumberFormat="1" applyFont="1" applyFill="1" applyBorder="1" applyAlignment="1" applyProtection="1">
      <alignment horizontal="right" vertical="center"/>
      <protection locked="0" hidden="1"/>
    </xf>
    <xf numFmtId="4" fontId="25" fillId="6" borderId="0" xfId="0" applyNumberFormat="1" applyFont="1" applyFill="1" applyBorder="1" applyAlignment="1" applyProtection="1">
      <alignment vertical="center"/>
      <protection locked="0" hidden="1"/>
    </xf>
    <xf numFmtId="166" fontId="25" fillId="6" borderId="0" xfId="4" applyNumberFormat="1" applyFont="1" applyFill="1" applyBorder="1" applyAlignment="1" applyProtection="1">
      <alignment horizontal="right" vertical="center"/>
      <protection locked="0" hidden="1"/>
    </xf>
    <xf numFmtId="166" fontId="25" fillId="6" borderId="0" xfId="4" applyNumberFormat="1" applyFont="1" applyFill="1" applyBorder="1" applyAlignment="1" applyProtection="1">
      <alignment vertical="center"/>
      <protection locked="0" hidden="1"/>
    </xf>
    <xf numFmtId="3" fontId="30" fillId="6" borderId="0" xfId="0" applyNumberFormat="1" applyFont="1" applyFill="1" applyBorder="1" applyAlignment="1" applyProtection="1">
      <alignment vertical="center"/>
      <protection locked="0" hidden="1"/>
    </xf>
    <xf numFmtId="170" fontId="31" fillId="6" borderId="0" xfId="4" applyNumberFormat="1" applyFont="1" applyFill="1" applyBorder="1" applyAlignment="1" applyProtection="1">
      <alignment vertical="center"/>
      <protection locked="0" hidden="1"/>
    </xf>
    <xf numFmtId="1" fontId="32" fillId="6" borderId="0" xfId="0" applyNumberFormat="1" applyFont="1" applyFill="1" applyBorder="1" applyAlignment="1" applyProtection="1">
      <alignment horizontal="right" vertical="center"/>
      <protection locked="0" hidden="1"/>
    </xf>
    <xf numFmtId="4" fontId="25" fillId="6" borderId="0" xfId="0" applyNumberFormat="1" applyFont="1" applyFill="1" applyBorder="1" applyProtection="1">
      <protection locked="0" hidden="1"/>
    </xf>
    <xf numFmtId="1" fontId="25" fillId="6" borderId="0" xfId="0" applyNumberFormat="1" applyFont="1" applyFill="1" applyBorder="1" applyProtection="1">
      <protection locked="0" hidden="1"/>
    </xf>
    <xf numFmtId="4" fontId="25" fillId="6" borderId="35" xfId="0" applyNumberFormat="1" applyFont="1" applyFill="1" applyBorder="1" applyProtection="1">
      <protection locked="0" hidden="1"/>
    </xf>
    <xf numFmtId="1" fontId="25" fillId="6" borderId="4" xfId="0" applyNumberFormat="1" applyFont="1" applyFill="1" applyBorder="1" applyProtection="1">
      <protection locked="0" hidden="1"/>
    </xf>
    <xf numFmtId="4" fontId="25" fillId="6" borderId="4" xfId="0" applyNumberFormat="1" applyFont="1" applyFill="1" applyBorder="1" applyProtection="1">
      <protection locked="0" hidden="1"/>
    </xf>
    <xf numFmtId="4" fontId="25" fillId="6" borderId="36" xfId="0" applyNumberFormat="1" applyFont="1" applyFill="1" applyBorder="1" applyProtection="1">
      <protection locked="0" hidden="1"/>
    </xf>
    <xf numFmtId="4" fontId="25" fillId="5" borderId="29" xfId="0" applyNumberFormat="1" applyFont="1" applyFill="1" applyBorder="1" applyProtection="1">
      <protection locked="0" hidden="1"/>
    </xf>
    <xf numFmtId="4" fontId="25" fillId="5" borderId="0" xfId="0" applyNumberFormat="1" applyFont="1" applyFill="1" applyBorder="1" applyAlignment="1" applyProtection="1">
      <alignment horizontal="center"/>
      <protection locked="0" hidden="1"/>
    </xf>
    <xf numFmtId="4" fontId="28" fillId="5" borderId="0" xfId="0" applyNumberFormat="1" applyFont="1" applyFill="1" applyBorder="1" applyAlignment="1" applyProtection="1">
      <alignment horizontal="right"/>
      <protection locked="0" hidden="1"/>
    </xf>
    <xf numFmtId="4" fontId="28" fillId="5" borderId="0" xfId="0" applyNumberFormat="1" applyFont="1" applyFill="1" applyBorder="1" applyProtection="1">
      <protection locked="0" hidden="1"/>
    </xf>
    <xf numFmtId="4" fontId="28" fillId="5" borderId="34" xfId="0" applyNumberFormat="1" applyFont="1" applyFill="1" applyBorder="1" applyProtection="1">
      <protection locked="0" hidden="1"/>
    </xf>
    <xf numFmtId="4" fontId="28" fillId="5" borderId="29" xfId="0" applyNumberFormat="1" applyFont="1" applyFill="1" applyBorder="1" applyProtection="1">
      <protection locked="0" hidden="1"/>
    </xf>
    <xf numFmtId="4" fontId="28" fillId="5" borderId="0" xfId="0" applyNumberFormat="1" applyFont="1" applyFill="1" applyBorder="1" applyAlignment="1" applyProtection="1">
      <alignment horizontal="right" vertical="center"/>
      <protection locked="0" hidden="1"/>
    </xf>
    <xf numFmtId="4" fontId="25" fillId="5" borderId="34" xfId="0" applyNumberFormat="1" applyFont="1" applyFill="1" applyBorder="1" applyProtection="1">
      <protection locked="0" hidden="1"/>
    </xf>
    <xf numFmtId="1" fontId="28" fillId="5" borderId="0" xfId="0" applyNumberFormat="1" applyFont="1" applyFill="1" applyBorder="1" applyAlignment="1" applyProtection="1">
      <alignment vertical="center"/>
      <protection locked="0" hidden="1"/>
    </xf>
    <xf numFmtId="167" fontId="25" fillId="5" borderId="0" xfId="4" applyNumberFormat="1" applyFont="1" applyFill="1" applyBorder="1" applyAlignment="1" applyProtection="1">
      <alignment horizontal="right" vertical="center"/>
      <protection locked="0" hidden="1"/>
    </xf>
    <xf numFmtId="1" fontId="28" fillId="5" borderId="0" xfId="0" applyNumberFormat="1" applyFont="1" applyFill="1" applyBorder="1" applyAlignment="1" applyProtection="1">
      <alignment horizontal="right" vertical="center"/>
      <protection locked="0" hidden="1"/>
    </xf>
    <xf numFmtId="4" fontId="25" fillId="5" borderId="0" xfId="0" applyNumberFormat="1" applyFont="1" applyFill="1" applyBorder="1" applyAlignment="1" applyProtection="1">
      <alignment vertical="center"/>
      <protection locked="0" hidden="1"/>
    </xf>
    <xf numFmtId="166" fontId="25" fillId="5" borderId="0" xfId="4" applyNumberFormat="1" applyFont="1" applyFill="1" applyBorder="1" applyAlignment="1" applyProtection="1">
      <alignment horizontal="right" vertical="center"/>
      <protection locked="0" hidden="1"/>
    </xf>
    <xf numFmtId="166" fontId="25" fillId="5" borderId="0" xfId="4" applyNumberFormat="1" applyFont="1" applyFill="1" applyBorder="1" applyAlignment="1" applyProtection="1">
      <alignment vertical="center"/>
      <protection locked="0" hidden="1"/>
    </xf>
    <xf numFmtId="3" fontId="30" fillId="5" borderId="0" xfId="0" applyNumberFormat="1" applyFont="1" applyFill="1" applyBorder="1" applyAlignment="1" applyProtection="1">
      <alignment vertical="center"/>
      <protection locked="0" hidden="1"/>
    </xf>
    <xf numFmtId="170" fontId="31" fillId="5" borderId="0" xfId="4" applyNumberFormat="1" applyFont="1" applyFill="1" applyBorder="1" applyAlignment="1" applyProtection="1">
      <alignment vertical="center"/>
      <protection locked="0" hidden="1"/>
    </xf>
    <xf numFmtId="1" fontId="32" fillId="5" borderId="0" xfId="0" applyNumberFormat="1" applyFont="1" applyFill="1" applyBorder="1" applyAlignment="1" applyProtection="1">
      <alignment horizontal="right" vertical="center"/>
      <protection locked="0" hidden="1"/>
    </xf>
    <xf numFmtId="4" fontId="25" fillId="5" borderId="0" xfId="0" applyNumberFormat="1" applyFont="1" applyFill="1" applyBorder="1" applyProtection="1">
      <protection locked="0" hidden="1"/>
    </xf>
    <xf numFmtId="1" fontId="25" fillId="5" borderId="0" xfId="0" applyNumberFormat="1" applyFont="1" applyFill="1" applyBorder="1" applyProtection="1">
      <protection locked="0" hidden="1"/>
    </xf>
    <xf numFmtId="4" fontId="25" fillId="5" borderId="35" xfId="0" applyNumberFormat="1" applyFont="1" applyFill="1" applyBorder="1" applyProtection="1">
      <protection locked="0" hidden="1"/>
    </xf>
    <xf numFmtId="1" fontId="25" fillId="5" borderId="4" xfId="0" applyNumberFormat="1" applyFont="1" applyFill="1" applyBorder="1" applyProtection="1">
      <protection locked="0" hidden="1"/>
    </xf>
    <xf numFmtId="4" fontId="25" fillId="5" borderId="4" xfId="0" applyNumberFormat="1" applyFont="1" applyFill="1" applyBorder="1" applyProtection="1">
      <protection locked="0" hidden="1"/>
    </xf>
    <xf numFmtId="4" fontId="25" fillId="5" borderId="36" xfId="0" applyNumberFormat="1" applyFont="1" applyFill="1" applyBorder="1" applyProtection="1">
      <protection locked="0" hidden="1"/>
    </xf>
    <xf numFmtId="4" fontId="25" fillId="8" borderId="29" xfId="0" applyNumberFormat="1" applyFont="1" applyFill="1" applyBorder="1" applyProtection="1">
      <protection locked="0" hidden="1"/>
    </xf>
    <xf numFmtId="4" fontId="25" fillId="8" borderId="0" xfId="0" applyNumberFormat="1" applyFont="1" applyFill="1" applyBorder="1" applyAlignment="1" applyProtection="1">
      <alignment horizontal="center"/>
      <protection locked="0" hidden="1"/>
    </xf>
    <xf numFmtId="4" fontId="28" fillId="8" borderId="0" xfId="0" applyNumberFormat="1" applyFont="1" applyFill="1" applyBorder="1" applyAlignment="1" applyProtection="1">
      <alignment horizontal="right"/>
      <protection locked="0" hidden="1"/>
    </xf>
    <xf numFmtId="4" fontId="28" fillId="8" borderId="0" xfId="0" applyNumberFormat="1" applyFont="1" applyFill="1" applyBorder="1" applyProtection="1">
      <protection locked="0" hidden="1"/>
    </xf>
    <xf numFmtId="4" fontId="28" fillId="8" borderId="34" xfId="0" applyNumberFormat="1" applyFont="1" applyFill="1" applyBorder="1" applyProtection="1">
      <protection locked="0" hidden="1"/>
    </xf>
    <xf numFmtId="4" fontId="28" fillId="8" borderId="29" xfId="0" applyNumberFormat="1" applyFont="1" applyFill="1" applyBorder="1" applyProtection="1">
      <protection locked="0" hidden="1"/>
    </xf>
    <xf numFmtId="4" fontId="28" fillId="8" borderId="0" xfId="0" applyNumberFormat="1" applyFont="1" applyFill="1" applyBorder="1" applyAlignment="1" applyProtection="1">
      <alignment horizontal="right" vertical="center"/>
      <protection locked="0" hidden="1"/>
    </xf>
    <xf numFmtId="4" fontId="25" fillId="8" borderId="34" xfId="0" applyNumberFormat="1" applyFont="1" applyFill="1" applyBorder="1" applyProtection="1">
      <protection locked="0" hidden="1"/>
    </xf>
    <xf numFmtId="1" fontId="28" fillId="8" borderId="0" xfId="0" applyNumberFormat="1" applyFont="1" applyFill="1" applyBorder="1" applyAlignment="1" applyProtection="1">
      <alignment vertical="center"/>
      <protection locked="0" hidden="1"/>
    </xf>
    <xf numFmtId="167" fontId="25" fillId="8" borderId="0" xfId="4" applyNumberFormat="1" applyFont="1" applyFill="1" applyBorder="1" applyAlignment="1" applyProtection="1">
      <alignment horizontal="right" vertical="center"/>
      <protection locked="0" hidden="1"/>
    </xf>
    <xf numFmtId="1" fontId="28" fillId="8" borderId="0" xfId="0" applyNumberFormat="1" applyFont="1" applyFill="1" applyBorder="1" applyAlignment="1" applyProtection="1">
      <alignment horizontal="right" vertical="center"/>
      <protection locked="0" hidden="1"/>
    </xf>
    <xf numFmtId="166" fontId="25" fillId="8" borderId="0" xfId="4" applyNumberFormat="1" applyFont="1" applyFill="1" applyBorder="1" applyAlignment="1" applyProtection="1">
      <alignment horizontal="right" vertical="center"/>
      <protection locked="0" hidden="1"/>
    </xf>
    <xf numFmtId="3" fontId="30" fillId="8" borderId="0" xfId="0" applyNumberFormat="1" applyFont="1" applyFill="1" applyBorder="1" applyAlignment="1" applyProtection="1">
      <alignment vertical="center"/>
      <protection locked="0" hidden="1"/>
    </xf>
    <xf numFmtId="170" fontId="31" fillId="8" borderId="0" xfId="4" applyNumberFormat="1" applyFont="1" applyFill="1" applyBorder="1" applyAlignment="1" applyProtection="1">
      <alignment vertical="center"/>
      <protection locked="0" hidden="1"/>
    </xf>
    <xf numFmtId="1" fontId="32" fillId="8" borderId="0" xfId="0" applyNumberFormat="1" applyFont="1" applyFill="1" applyBorder="1" applyAlignment="1" applyProtection="1">
      <alignment horizontal="right" vertical="center"/>
      <protection locked="0" hidden="1"/>
    </xf>
    <xf numFmtId="167" fontId="32" fillId="8" borderId="0" xfId="4" applyNumberFormat="1" applyFont="1" applyFill="1" applyBorder="1" applyAlignment="1" applyProtection="1">
      <alignment vertical="center"/>
      <protection locked="0" hidden="1"/>
    </xf>
    <xf numFmtId="4" fontId="25" fillId="8" borderId="0" xfId="0" applyNumberFormat="1" applyFont="1" applyFill="1" applyBorder="1" applyProtection="1">
      <protection locked="0" hidden="1"/>
    </xf>
    <xf numFmtId="1" fontId="25" fillId="8" borderId="0" xfId="0" applyNumberFormat="1" applyFont="1" applyFill="1" applyBorder="1" applyProtection="1">
      <protection locked="0" hidden="1"/>
    </xf>
    <xf numFmtId="4" fontId="25" fillId="8" borderId="35" xfId="0" applyNumberFormat="1" applyFont="1" applyFill="1" applyBorder="1" applyProtection="1">
      <protection locked="0" hidden="1"/>
    </xf>
    <xf numFmtId="1" fontId="25" fillId="8" borderId="4" xfId="0" applyNumberFormat="1" applyFont="1" applyFill="1" applyBorder="1" applyProtection="1">
      <protection locked="0" hidden="1"/>
    </xf>
    <xf numFmtId="4" fontId="25" fillId="8" borderId="4" xfId="0" applyNumberFormat="1" applyFont="1" applyFill="1" applyBorder="1" applyProtection="1">
      <protection locked="0" hidden="1"/>
    </xf>
    <xf numFmtId="4" fontId="25" fillId="8" borderId="36" xfId="0" applyNumberFormat="1" applyFont="1" applyFill="1" applyBorder="1" applyProtection="1">
      <protection locked="0" hidden="1"/>
    </xf>
    <xf numFmtId="4" fontId="29" fillId="3" borderId="34" xfId="0" applyNumberFormat="1" applyFont="1" applyFill="1" applyBorder="1" applyProtection="1">
      <protection locked="0" hidden="1"/>
    </xf>
    <xf numFmtId="167" fontId="34" fillId="0" borderId="32" xfId="0" applyNumberFormat="1" applyFont="1" applyBorder="1" applyAlignment="1" applyProtection="1">
      <alignment horizontal="center" vertical="top" wrapText="1"/>
      <protection locked="0" hidden="1"/>
    </xf>
    <xf numFmtId="167" fontId="25" fillId="6" borderId="0" xfId="4" applyNumberFormat="1" applyFont="1" applyFill="1" applyBorder="1" applyAlignment="1" applyProtection="1">
      <alignment vertical="center"/>
      <protection locked="0" hidden="1"/>
    </xf>
    <xf numFmtId="4" fontId="29" fillId="6" borderId="34" xfId="0" applyNumberFormat="1" applyFont="1" applyFill="1" applyBorder="1" applyProtection="1">
      <protection locked="0" hidden="1"/>
    </xf>
    <xf numFmtId="167" fontId="25" fillId="5" borderId="0" xfId="4" applyNumberFormat="1" applyFont="1" applyFill="1" applyBorder="1" applyAlignment="1" applyProtection="1">
      <alignment vertical="center"/>
      <protection locked="0" hidden="1"/>
    </xf>
    <xf numFmtId="4" fontId="29" fillId="5" borderId="34" xfId="0" applyNumberFormat="1" applyFont="1" applyFill="1" applyBorder="1" applyProtection="1">
      <protection locked="0" hidden="1"/>
    </xf>
    <xf numFmtId="167" fontId="25" fillId="8" borderId="0" xfId="4" applyNumberFormat="1" applyFont="1" applyFill="1" applyBorder="1" applyAlignment="1" applyProtection="1">
      <alignment vertical="center"/>
      <protection locked="0" hidden="1"/>
    </xf>
    <xf numFmtId="4" fontId="29" fillId="8" borderId="34" xfId="0" applyNumberFormat="1" applyFont="1" applyFill="1" applyBorder="1" applyProtection="1">
      <protection locked="0" hidden="1"/>
    </xf>
    <xf numFmtId="0" fontId="0" fillId="0" borderId="0" xfId="0" applyBorder="1" applyAlignment="1" applyProtection="1">
      <alignment horizontal="center"/>
      <protection locked="0" hidden="1"/>
    </xf>
    <xf numFmtId="4" fontId="25" fillId="7" borderId="0" xfId="0" applyNumberFormat="1" applyFont="1" applyFill="1" applyBorder="1" applyAlignment="1" applyProtection="1">
      <alignment horizontal="center"/>
      <protection locked="0" hidden="1"/>
    </xf>
    <xf numFmtId="4" fontId="35" fillId="7" borderId="0" xfId="0" applyNumberFormat="1" applyFont="1" applyFill="1" applyBorder="1" applyAlignment="1" applyProtection="1">
      <alignment horizontal="center"/>
      <protection locked="0" hidden="1"/>
    </xf>
    <xf numFmtId="4" fontId="25" fillId="0" borderId="0" xfId="0" applyNumberFormat="1" applyFont="1" applyFill="1" applyBorder="1" applyAlignment="1" applyProtection="1">
      <alignment horizontal="center"/>
      <protection locked="0" hidden="1"/>
    </xf>
    <xf numFmtId="0" fontId="0" fillId="0" borderId="4" xfId="0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locked="0" hidden="1"/>
    </xf>
    <xf numFmtId="0" fontId="19" fillId="0" borderId="0" xfId="2" applyFont="1" applyBorder="1" applyAlignment="1" applyProtection="1">
      <alignment horizontal="center" vertical="top"/>
    </xf>
    <xf numFmtId="0" fontId="19" fillId="0" borderId="0" xfId="2" applyFont="1" applyBorder="1" applyAlignment="1" applyProtection="1">
      <alignment horizontal="left" vertical="top"/>
    </xf>
    <xf numFmtId="165" fontId="5" fillId="4" borderId="1" xfId="6" applyNumberFormat="1" applyFont="1" applyFill="1" applyBorder="1" applyAlignment="1" applyProtection="1">
      <alignment horizontal="right"/>
      <protection locked="0" hidden="1"/>
    </xf>
    <xf numFmtId="165" fontId="5" fillId="4" borderId="9" xfId="6" applyNumberFormat="1" applyFont="1" applyFill="1" applyBorder="1" applyAlignment="1" applyProtection="1">
      <alignment horizontal="right"/>
      <protection locked="0" hidden="1"/>
    </xf>
    <xf numFmtId="165" fontId="5" fillId="4" borderId="11" xfId="6" applyNumberFormat="1" applyFont="1" applyFill="1" applyBorder="1" applyAlignment="1" applyProtection="1">
      <alignment horizontal="right"/>
      <protection locked="0" hidden="1"/>
    </xf>
    <xf numFmtId="165" fontId="5" fillId="4" borderId="12" xfId="6" applyNumberFormat="1" applyFont="1" applyFill="1" applyBorder="1" applyAlignment="1" applyProtection="1">
      <alignment horizontal="right"/>
      <protection locked="0" hidden="1"/>
    </xf>
    <xf numFmtId="0" fontId="38" fillId="0" borderId="0" xfId="0" applyFont="1" applyFill="1" applyBorder="1"/>
    <xf numFmtId="0" fontId="42" fillId="0" borderId="0" xfId="0" applyFont="1" applyFill="1" applyBorder="1"/>
    <xf numFmtId="0" fontId="5" fillId="0" borderId="0" xfId="0" applyFont="1"/>
    <xf numFmtId="0" fontId="41" fillId="0" borderId="0" xfId="2" applyFont="1" applyBorder="1" applyAlignment="1" applyProtection="1">
      <alignment horizontal="center"/>
    </xf>
    <xf numFmtId="0" fontId="1" fillId="0" borderId="0" xfId="0" applyFont="1"/>
    <xf numFmtId="0" fontId="5" fillId="2" borderId="41" xfId="0" applyFont="1" applyFill="1" applyBorder="1" applyAlignment="1">
      <alignment vertical="center"/>
    </xf>
    <xf numFmtId="0" fontId="5" fillId="2" borderId="32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42" xfId="0" applyFont="1" applyFill="1" applyBorder="1"/>
    <xf numFmtId="0" fontId="5" fillId="2" borderId="43" xfId="0" applyFont="1" applyFill="1" applyBorder="1"/>
    <xf numFmtId="0" fontId="45" fillId="0" borderId="0" xfId="0" applyFont="1" applyBorder="1"/>
    <xf numFmtId="0" fontId="1" fillId="0" borderId="0" xfId="0" applyFont="1" applyBorder="1"/>
    <xf numFmtId="0" fontId="1" fillId="0" borderId="8" xfId="0" applyFont="1" applyBorder="1" applyAlignment="1">
      <alignment vertical="center"/>
    </xf>
    <xf numFmtId="0" fontId="5" fillId="0" borderId="24" xfId="0" applyFont="1" applyBorder="1" applyAlignment="1">
      <alignment horizontal="center" wrapText="1"/>
    </xf>
    <xf numFmtId="44" fontId="1" fillId="0" borderId="8" xfId="1" applyFont="1" applyBorder="1" applyAlignment="1">
      <alignment vertical="center"/>
    </xf>
    <xf numFmtId="44" fontId="1" fillId="0" borderId="8" xfId="0" applyNumberFormat="1" applyFont="1" applyBorder="1" applyAlignment="1">
      <alignment vertical="center"/>
    </xf>
    <xf numFmtId="44" fontId="1" fillId="0" borderId="10" xfId="0" applyNumberFormat="1" applyFont="1" applyBorder="1" applyAlignment="1">
      <alignment vertical="center"/>
    </xf>
    <xf numFmtId="1" fontId="34" fillId="0" borderId="31" xfId="0" applyNumberFormat="1" applyFont="1" applyBorder="1" applyAlignment="1" applyProtection="1">
      <alignment horizontal="center" vertical="top" wrapText="1"/>
      <protection locked="0" hidden="1"/>
    </xf>
    <xf numFmtId="0" fontId="0" fillId="0" borderId="4" xfId="0" applyBorder="1" applyAlignment="1" applyProtection="1">
      <alignment horizontal="right"/>
      <protection locked="0" hidden="1"/>
    </xf>
    <xf numFmtId="0" fontId="1" fillId="0" borderId="0" xfId="0" applyFont="1" applyBorder="1" applyAlignment="1">
      <alignment vertical="center"/>
    </xf>
    <xf numFmtId="0" fontId="47" fillId="2" borderId="42" xfId="0" applyFont="1" applyFill="1" applyBorder="1"/>
    <xf numFmtId="0" fontId="5" fillId="0" borderId="0" xfId="0" applyFont="1" applyBorder="1"/>
    <xf numFmtId="0" fontId="1" fillId="0" borderId="42" xfId="0" applyFont="1" applyBorder="1" applyAlignment="1">
      <alignment vertical="center"/>
    </xf>
    <xf numFmtId="0" fontId="5" fillId="0" borderId="0" xfId="0" applyFont="1" applyBorder="1" applyAlignment="1">
      <alignment horizontal="center" wrapText="1"/>
    </xf>
    <xf numFmtId="44" fontId="1" fillId="0" borderId="42" xfId="1" applyFont="1" applyBorder="1" applyAlignment="1">
      <alignment vertical="center"/>
    </xf>
    <xf numFmtId="44" fontId="1" fillId="0" borderId="42" xfId="0" applyNumberFormat="1" applyFont="1" applyBorder="1" applyAlignment="1">
      <alignment vertical="center"/>
    </xf>
    <xf numFmtId="44" fontId="1" fillId="0" borderId="46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4" fontId="1" fillId="0" borderId="0" xfId="1" applyFont="1" applyBorder="1" applyAlignment="1">
      <alignment vertical="center"/>
    </xf>
    <xf numFmtId="44" fontId="1" fillId="0" borderId="0" xfId="0" applyNumberFormat="1" applyFont="1" applyBorder="1" applyAlignment="1">
      <alignment vertical="center"/>
    </xf>
    <xf numFmtId="0" fontId="5" fillId="2" borderId="47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6" xfId="6" applyFont="1" applyFill="1" applyBorder="1" applyAlignment="1" applyProtection="1">
      <protection locked="0" hidden="1"/>
    </xf>
    <xf numFmtId="0" fontId="7" fillId="2" borderId="7" xfId="6" applyFont="1" applyFill="1" applyBorder="1" applyAlignment="1" applyProtection="1">
      <protection locked="0" hidden="1"/>
    </xf>
    <xf numFmtId="0" fontId="48" fillId="0" borderId="0" xfId="0" applyFont="1"/>
    <xf numFmtId="170" fontId="32" fillId="3" borderId="0" xfId="4" applyNumberFormat="1" applyFont="1" applyFill="1" applyBorder="1" applyAlignment="1" applyProtection="1">
      <alignment vertical="center"/>
      <protection locked="0" hidden="1"/>
    </xf>
    <xf numFmtId="171" fontId="34" fillId="0" borderId="32" xfId="0" applyNumberFormat="1" applyFont="1" applyBorder="1" applyAlignment="1" applyProtection="1">
      <alignment horizontal="right" vertical="top" wrapText="1"/>
      <protection locked="0" hidden="1"/>
    </xf>
    <xf numFmtId="4" fontId="28" fillId="7" borderId="0" xfId="0" applyNumberFormat="1" applyFont="1" applyFill="1" applyBorder="1" applyAlignment="1" applyProtection="1">
      <protection locked="0" hidden="1"/>
    </xf>
    <xf numFmtId="170" fontId="32" fillId="6" borderId="0" xfId="4" applyNumberFormat="1" applyFont="1" applyFill="1" applyBorder="1" applyAlignment="1" applyProtection="1">
      <alignment vertical="center"/>
      <protection locked="0" hidden="1"/>
    </xf>
    <xf numFmtId="170" fontId="32" fillId="5" borderId="0" xfId="4" applyNumberFormat="1" applyFont="1" applyFill="1" applyBorder="1" applyAlignment="1" applyProtection="1">
      <alignment vertical="center"/>
      <protection locked="0" hidden="1"/>
    </xf>
    <xf numFmtId="170" fontId="32" fillId="8" borderId="0" xfId="4" applyNumberFormat="1" applyFont="1" applyFill="1" applyBorder="1" applyAlignment="1" applyProtection="1">
      <alignment vertical="center"/>
      <protection locked="0" hidden="1"/>
    </xf>
    <xf numFmtId="4" fontId="25" fillId="11" borderId="29" xfId="0" applyNumberFormat="1" applyFont="1" applyFill="1" applyBorder="1" applyProtection="1">
      <protection locked="0" hidden="1"/>
    </xf>
    <xf numFmtId="4" fontId="25" fillId="11" borderId="0" xfId="0" applyNumberFormat="1" applyFont="1" applyFill="1" applyBorder="1" applyAlignment="1" applyProtection="1">
      <alignment horizontal="center"/>
      <protection locked="0" hidden="1"/>
    </xf>
    <xf numFmtId="4" fontId="28" fillId="11" borderId="0" xfId="0" applyNumberFormat="1" applyFont="1" applyFill="1" applyBorder="1" applyAlignment="1" applyProtection="1">
      <alignment horizontal="right"/>
      <protection locked="0" hidden="1"/>
    </xf>
    <xf numFmtId="4" fontId="28" fillId="11" borderId="0" xfId="0" applyNumberFormat="1" applyFont="1" applyFill="1" applyBorder="1" applyProtection="1">
      <protection locked="0" hidden="1"/>
    </xf>
    <xf numFmtId="4" fontId="25" fillId="11" borderId="0" xfId="0" applyNumberFormat="1" applyFont="1" applyFill="1" applyBorder="1" applyProtection="1">
      <protection locked="0" hidden="1"/>
    </xf>
    <xf numFmtId="4" fontId="28" fillId="11" borderId="34" xfId="0" applyNumberFormat="1" applyFont="1" applyFill="1" applyBorder="1" applyProtection="1">
      <protection locked="0" hidden="1"/>
    </xf>
    <xf numFmtId="4" fontId="28" fillId="11" borderId="29" xfId="0" applyNumberFormat="1" applyFont="1" applyFill="1" applyBorder="1" applyProtection="1">
      <protection locked="0" hidden="1"/>
    </xf>
    <xf numFmtId="4" fontId="28" fillId="11" borderId="0" xfId="0" applyNumberFormat="1" applyFont="1" applyFill="1" applyBorder="1" applyAlignment="1" applyProtection="1">
      <alignment horizontal="right" vertical="center"/>
      <protection locked="0" hidden="1"/>
    </xf>
    <xf numFmtId="1" fontId="28" fillId="11" borderId="0" xfId="0" applyNumberFormat="1" applyFont="1" applyFill="1" applyBorder="1" applyAlignment="1" applyProtection="1">
      <alignment horizontal="right" vertical="center"/>
      <protection locked="0" hidden="1"/>
    </xf>
    <xf numFmtId="4" fontId="25" fillId="11" borderId="34" xfId="0" applyNumberFormat="1" applyFont="1" applyFill="1" applyBorder="1" applyProtection="1">
      <protection locked="0" hidden="1"/>
    </xf>
    <xf numFmtId="1" fontId="28" fillId="11" borderId="0" xfId="0" applyNumberFormat="1" applyFont="1" applyFill="1" applyBorder="1" applyAlignment="1" applyProtection="1">
      <alignment vertical="center"/>
      <protection locked="0" hidden="1"/>
    </xf>
    <xf numFmtId="167" fontId="25" fillId="11" borderId="0" xfId="4" applyNumberFormat="1" applyFont="1" applyFill="1" applyBorder="1" applyAlignment="1" applyProtection="1">
      <alignment horizontal="right" vertical="center"/>
      <protection locked="0" hidden="1"/>
    </xf>
    <xf numFmtId="167" fontId="25" fillId="11" borderId="0" xfId="4" applyNumberFormat="1" applyFont="1" applyFill="1" applyBorder="1" applyAlignment="1" applyProtection="1">
      <alignment vertical="center"/>
      <protection locked="0" hidden="1"/>
    </xf>
    <xf numFmtId="166" fontId="25" fillId="11" borderId="0" xfId="4" applyNumberFormat="1" applyFont="1" applyFill="1" applyBorder="1" applyAlignment="1" applyProtection="1">
      <alignment horizontal="right" vertical="center"/>
      <protection locked="0" hidden="1"/>
    </xf>
    <xf numFmtId="4" fontId="29" fillId="11" borderId="34" xfId="0" applyNumberFormat="1" applyFont="1" applyFill="1" applyBorder="1" applyProtection="1">
      <protection locked="0" hidden="1"/>
    </xf>
    <xf numFmtId="167" fontId="32" fillId="11" borderId="0" xfId="4" applyNumberFormat="1" applyFont="1" applyFill="1" applyBorder="1" applyAlignment="1" applyProtection="1">
      <alignment vertical="center"/>
      <protection locked="0" hidden="1"/>
    </xf>
    <xf numFmtId="3" fontId="30" fillId="11" borderId="0" xfId="0" applyNumberFormat="1" applyFont="1" applyFill="1" applyBorder="1" applyAlignment="1" applyProtection="1">
      <alignment vertical="center"/>
      <protection locked="0" hidden="1"/>
    </xf>
    <xf numFmtId="170" fontId="31" fillId="11" borderId="0" xfId="4" applyNumberFormat="1" applyFont="1" applyFill="1" applyBorder="1" applyAlignment="1" applyProtection="1">
      <alignment vertical="center"/>
      <protection locked="0" hidden="1"/>
    </xf>
    <xf numFmtId="1" fontId="32" fillId="11" borderId="0" xfId="0" applyNumberFormat="1" applyFont="1" applyFill="1" applyBorder="1" applyAlignment="1" applyProtection="1">
      <alignment horizontal="right" vertical="center"/>
      <protection locked="0" hidden="1"/>
    </xf>
    <xf numFmtId="170" fontId="32" fillId="11" borderId="0" xfId="4" applyNumberFormat="1" applyFont="1" applyFill="1" applyBorder="1" applyAlignment="1" applyProtection="1">
      <alignment vertical="center"/>
      <protection locked="0" hidden="1"/>
    </xf>
    <xf numFmtId="1" fontId="25" fillId="11" borderId="0" xfId="0" applyNumberFormat="1" applyFont="1" applyFill="1" applyBorder="1" applyProtection="1">
      <protection locked="0" hidden="1"/>
    </xf>
    <xf numFmtId="4" fontId="25" fillId="11" borderId="35" xfId="0" applyNumberFormat="1" applyFont="1" applyFill="1" applyBorder="1" applyProtection="1">
      <protection locked="0" hidden="1"/>
    </xf>
    <xf numFmtId="1" fontId="25" fillId="11" borderId="4" xfId="0" applyNumberFormat="1" applyFont="1" applyFill="1" applyBorder="1" applyProtection="1">
      <protection locked="0" hidden="1"/>
    </xf>
    <xf numFmtId="4" fontId="25" fillId="11" borderId="4" xfId="0" applyNumberFormat="1" applyFont="1" applyFill="1" applyBorder="1" applyProtection="1">
      <protection locked="0" hidden="1"/>
    </xf>
    <xf numFmtId="4" fontId="25" fillId="11" borderId="36" xfId="0" applyNumberFormat="1" applyFont="1" applyFill="1" applyBorder="1" applyProtection="1">
      <protection locked="0" hidden="1"/>
    </xf>
    <xf numFmtId="4" fontId="25" fillId="12" borderId="29" xfId="0" applyNumberFormat="1" applyFont="1" applyFill="1" applyBorder="1" applyProtection="1">
      <protection locked="0" hidden="1"/>
    </xf>
    <xf numFmtId="4" fontId="25" fillId="12" borderId="0" xfId="0" applyNumberFormat="1" applyFont="1" applyFill="1" applyBorder="1" applyAlignment="1" applyProtection="1">
      <alignment horizontal="center"/>
      <protection locked="0" hidden="1"/>
    </xf>
    <xf numFmtId="4" fontId="28" fillId="12" borderId="0" xfId="0" applyNumberFormat="1" applyFont="1" applyFill="1" applyBorder="1" applyAlignment="1" applyProtection="1">
      <alignment horizontal="right"/>
      <protection locked="0" hidden="1"/>
    </xf>
    <xf numFmtId="4" fontId="28" fillId="12" borderId="0" xfId="0" applyNumberFormat="1" applyFont="1" applyFill="1" applyBorder="1" applyProtection="1">
      <protection locked="0" hidden="1"/>
    </xf>
    <xf numFmtId="4" fontId="25" fillId="12" borderId="0" xfId="0" applyNumberFormat="1" applyFont="1" applyFill="1" applyBorder="1" applyProtection="1">
      <protection locked="0" hidden="1"/>
    </xf>
    <xf numFmtId="4" fontId="28" fillId="12" borderId="34" xfId="0" applyNumberFormat="1" applyFont="1" applyFill="1" applyBorder="1" applyProtection="1">
      <protection locked="0" hidden="1"/>
    </xf>
    <xf numFmtId="4" fontId="28" fillId="12" borderId="29" xfId="0" applyNumberFormat="1" applyFont="1" applyFill="1" applyBorder="1" applyProtection="1">
      <protection locked="0" hidden="1"/>
    </xf>
    <xf numFmtId="4" fontId="28" fillId="12" borderId="0" xfId="0" applyNumberFormat="1" applyFont="1" applyFill="1" applyBorder="1" applyAlignment="1" applyProtection="1">
      <alignment horizontal="right" vertical="center"/>
      <protection locked="0" hidden="1"/>
    </xf>
    <xf numFmtId="1" fontId="28" fillId="12" borderId="0" xfId="0" applyNumberFormat="1" applyFont="1" applyFill="1" applyBorder="1" applyAlignment="1" applyProtection="1">
      <alignment horizontal="right" vertical="center"/>
      <protection locked="0" hidden="1"/>
    </xf>
    <xf numFmtId="4" fontId="25" fillId="12" borderId="34" xfId="0" applyNumberFormat="1" applyFont="1" applyFill="1" applyBorder="1" applyProtection="1">
      <protection locked="0" hidden="1"/>
    </xf>
    <xf numFmtId="1" fontId="28" fillId="12" borderId="0" xfId="0" applyNumberFormat="1" applyFont="1" applyFill="1" applyBorder="1" applyAlignment="1" applyProtection="1">
      <alignment vertical="center"/>
      <protection locked="0" hidden="1"/>
    </xf>
    <xf numFmtId="167" fontId="25" fillId="12" borderId="0" xfId="4" applyNumberFormat="1" applyFont="1" applyFill="1" applyBorder="1" applyAlignment="1" applyProtection="1">
      <alignment horizontal="right" vertical="center"/>
      <protection locked="0" hidden="1"/>
    </xf>
    <xf numFmtId="167" fontId="25" fillId="12" borderId="0" xfId="4" applyNumberFormat="1" applyFont="1" applyFill="1" applyBorder="1" applyAlignment="1" applyProtection="1">
      <alignment vertical="center"/>
      <protection locked="0" hidden="1"/>
    </xf>
    <xf numFmtId="166" fontId="25" fillId="12" borderId="0" xfId="4" applyNumberFormat="1" applyFont="1" applyFill="1" applyBorder="1" applyAlignment="1" applyProtection="1">
      <alignment horizontal="right" vertical="center"/>
      <protection locked="0" hidden="1"/>
    </xf>
    <xf numFmtId="4" fontId="29" fillId="12" borderId="34" xfId="0" applyNumberFormat="1" applyFont="1" applyFill="1" applyBorder="1" applyProtection="1">
      <protection locked="0" hidden="1"/>
    </xf>
    <xf numFmtId="167" fontId="32" fillId="12" borderId="0" xfId="4" applyNumberFormat="1" applyFont="1" applyFill="1" applyBorder="1" applyAlignment="1" applyProtection="1">
      <alignment vertical="center"/>
      <protection locked="0" hidden="1"/>
    </xf>
    <xf numFmtId="3" fontId="30" fillId="12" borderId="0" xfId="0" applyNumberFormat="1" applyFont="1" applyFill="1" applyBorder="1" applyAlignment="1" applyProtection="1">
      <alignment vertical="center"/>
      <protection locked="0" hidden="1"/>
    </xf>
    <xf numFmtId="170" fontId="31" fillId="12" borderId="0" xfId="4" applyNumberFormat="1" applyFont="1" applyFill="1" applyBorder="1" applyAlignment="1" applyProtection="1">
      <alignment vertical="center"/>
      <protection locked="0" hidden="1"/>
    </xf>
    <xf numFmtId="1" fontId="32" fillId="12" borderId="0" xfId="0" applyNumberFormat="1" applyFont="1" applyFill="1" applyBorder="1" applyAlignment="1" applyProtection="1">
      <alignment horizontal="right" vertical="center"/>
      <protection locked="0" hidden="1"/>
    </xf>
    <xf numFmtId="170" fontId="32" fillId="12" borderId="0" xfId="4" applyNumberFormat="1" applyFont="1" applyFill="1" applyBorder="1" applyAlignment="1" applyProtection="1">
      <alignment vertical="center"/>
      <protection locked="0" hidden="1"/>
    </xf>
    <xf numFmtId="1" fontId="25" fillId="12" borderId="0" xfId="0" applyNumberFormat="1" applyFont="1" applyFill="1" applyBorder="1" applyProtection="1">
      <protection locked="0" hidden="1"/>
    </xf>
    <xf numFmtId="4" fontId="25" fillId="12" borderId="35" xfId="0" applyNumberFormat="1" applyFont="1" applyFill="1" applyBorder="1" applyProtection="1">
      <protection locked="0" hidden="1"/>
    </xf>
    <xf numFmtId="1" fontId="25" fillId="12" borderId="4" xfId="0" applyNumberFormat="1" applyFont="1" applyFill="1" applyBorder="1" applyProtection="1">
      <protection locked="0" hidden="1"/>
    </xf>
    <xf numFmtId="4" fontId="25" fillId="12" borderId="4" xfId="0" applyNumberFormat="1" applyFont="1" applyFill="1" applyBorder="1" applyProtection="1">
      <protection locked="0" hidden="1"/>
    </xf>
    <xf numFmtId="4" fontId="25" fillId="12" borderId="36" xfId="0" applyNumberFormat="1" applyFont="1" applyFill="1" applyBorder="1" applyProtection="1">
      <protection locked="0" hidden="1"/>
    </xf>
    <xf numFmtId="4" fontId="25" fillId="4" borderId="29" xfId="0" applyNumberFormat="1" applyFont="1" applyFill="1" applyBorder="1" applyProtection="1">
      <protection locked="0" hidden="1"/>
    </xf>
    <xf numFmtId="4" fontId="25" fillId="4" borderId="0" xfId="0" applyNumberFormat="1" applyFont="1" applyFill="1" applyBorder="1" applyAlignment="1" applyProtection="1">
      <alignment horizontal="center"/>
      <protection locked="0" hidden="1"/>
    </xf>
    <xf numFmtId="4" fontId="28" fillId="4" borderId="0" xfId="0" applyNumberFormat="1" applyFont="1" applyFill="1" applyBorder="1" applyAlignment="1" applyProtection="1">
      <alignment horizontal="right"/>
      <protection locked="0" hidden="1"/>
    </xf>
    <xf numFmtId="4" fontId="28" fillId="4" borderId="0" xfId="0" applyNumberFormat="1" applyFont="1" applyFill="1" applyBorder="1" applyProtection="1">
      <protection locked="0" hidden="1"/>
    </xf>
    <xf numFmtId="4" fontId="25" fillId="4" borderId="0" xfId="0" applyNumberFormat="1" applyFont="1" applyFill="1" applyBorder="1" applyProtection="1">
      <protection locked="0" hidden="1"/>
    </xf>
    <xf numFmtId="4" fontId="28" fillId="4" borderId="34" xfId="0" applyNumberFormat="1" applyFont="1" applyFill="1" applyBorder="1" applyProtection="1">
      <protection locked="0" hidden="1"/>
    </xf>
    <xf numFmtId="4" fontId="28" fillId="4" borderId="29" xfId="0" applyNumberFormat="1" applyFont="1" applyFill="1" applyBorder="1" applyProtection="1">
      <protection locked="0" hidden="1"/>
    </xf>
    <xf numFmtId="4" fontId="28" fillId="4" borderId="0" xfId="0" applyNumberFormat="1" applyFont="1" applyFill="1" applyBorder="1" applyAlignment="1" applyProtection="1">
      <alignment horizontal="right" vertical="center"/>
      <protection locked="0" hidden="1"/>
    </xf>
    <xf numFmtId="1" fontId="28" fillId="4" borderId="0" xfId="0" applyNumberFormat="1" applyFont="1" applyFill="1" applyBorder="1" applyAlignment="1" applyProtection="1">
      <alignment horizontal="right" vertical="center"/>
      <protection locked="0" hidden="1"/>
    </xf>
    <xf numFmtId="4" fontId="25" fillId="4" borderId="34" xfId="0" applyNumberFormat="1" applyFont="1" applyFill="1" applyBorder="1" applyProtection="1">
      <protection locked="0" hidden="1"/>
    </xf>
    <xf numFmtId="1" fontId="28" fillId="4" borderId="0" xfId="0" applyNumberFormat="1" applyFont="1" applyFill="1" applyBorder="1" applyAlignment="1" applyProtection="1">
      <alignment vertical="center"/>
      <protection locked="0" hidden="1"/>
    </xf>
    <xf numFmtId="167" fontId="25" fillId="4" borderId="0" xfId="4" applyNumberFormat="1" applyFont="1" applyFill="1" applyBorder="1" applyAlignment="1" applyProtection="1">
      <alignment horizontal="right" vertical="center"/>
      <protection locked="0" hidden="1"/>
    </xf>
    <xf numFmtId="167" fontId="25" fillId="4" borderId="0" xfId="4" applyNumberFormat="1" applyFont="1" applyFill="1" applyBorder="1" applyAlignment="1" applyProtection="1">
      <alignment vertical="center"/>
      <protection locked="0" hidden="1"/>
    </xf>
    <xf numFmtId="166" fontId="25" fillId="4" borderId="0" xfId="4" applyNumberFormat="1" applyFont="1" applyFill="1" applyBorder="1" applyAlignment="1" applyProtection="1">
      <alignment horizontal="right" vertical="center"/>
      <protection locked="0" hidden="1"/>
    </xf>
    <xf numFmtId="4" fontId="29" fillId="4" borderId="34" xfId="0" applyNumberFormat="1" applyFont="1" applyFill="1" applyBorder="1" applyProtection="1">
      <protection locked="0" hidden="1"/>
    </xf>
    <xf numFmtId="3" fontId="30" fillId="4" borderId="0" xfId="0" applyNumberFormat="1" applyFont="1" applyFill="1" applyBorder="1" applyAlignment="1" applyProtection="1">
      <alignment vertical="center"/>
      <protection locked="0" hidden="1"/>
    </xf>
    <xf numFmtId="170" fontId="31" fillId="4" borderId="0" xfId="4" applyNumberFormat="1" applyFont="1" applyFill="1" applyBorder="1" applyAlignment="1" applyProtection="1">
      <alignment vertical="center"/>
      <protection locked="0" hidden="1"/>
    </xf>
    <xf numFmtId="1" fontId="32" fillId="4" borderId="0" xfId="0" applyNumberFormat="1" applyFont="1" applyFill="1" applyBorder="1" applyAlignment="1" applyProtection="1">
      <alignment horizontal="right" vertical="center"/>
      <protection locked="0" hidden="1"/>
    </xf>
    <xf numFmtId="167" fontId="32" fillId="4" borderId="0" xfId="4" applyNumberFormat="1" applyFont="1" applyFill="1" applyBorder="1" applyAlignment="1" applyProtection="1">
      <alignment vertical="center"/>
      <protection locked="0" hidden="1"/>
    </xf>
    <xf numFmtId="1" fontId="25" fillId="4" borderId="0" xfId="0" applyNumberFormat="1" applyFont="1" applyFill="1" applyBorder="1" applyProtection="1">
      <protection locked="0" hidden="1"/>
    </xf>
    <xf numFmtId="4" fontId="25" fillId="4" borderId="35" xfId="0" applyNumberFormat="1" applyFont="1" applyFill="1" applyBorder="1" applyProtection="1">
      <protection locked="0" hidden="1"/>
    </xf>
    <xf numFmtId="1" fontId="25" fillId="4" borderId="4" xfId="0" applyNumberFormat="1" applyFont="1" applyFill="1" applyBorder="1" applyProtection="1">
      <protection locked="0" hidden="1"/>
    </xf>
    <xf numFmtId="4" fontId="25" fillId="4" borderId="4" xfId="0" applyNumberFormat="1" applyFont="1" applyFill="1" applyBorder="1" applyProtection="1">
      <protection locked="0" hidden="1"/>
    </xf>
    <xf numFmtId="4" fontId="25" fillId="4" borderId="36" xfId="0" applyNumberFormat="1" applyFont="1" applyFill="1" applyBorder="1" applyProtection="1">
      <protection locked="0" hidden="1"/>
    </xf>
    <xf numFmtId="170" fontId="32" fillId="4" borderId="0" xfId="4" applyNumberFormat="1" applyFont="1" applyFill="1" applyBorder="1" applyAlignment="1" applyProtection="1">
      <alignment vertical="center"/>
      <protection locked="0" hidden="1"/>
    </xf>
    <xf numFmtId="167" fontId="34" fillId="0" borderId="32" xfId="0" applyNumberFormat="1" applyFont="1" applyBorder="1" applyAlignment="1" applyProtection="1">
      <alignment horizontal="right" vertical="top" wrapText="1"/>
      <protection locked="0" hidden="1"/>
    </xf>
    <xf numFmtId="0" fontId="0" fillId="0" borderId="0" xfId="0" applyBorder="1" applyAlignment="1" applyProtection="1">
      <alignment horizontal="right"/>
      <protection locked="0" hidden="1"/>
    </xf>
    <xf numFmtId="0" fontId="5" fillId="0" borderId="50" xfId="0" applyFont="1" applyBorder="1"/>
    <xf numFmtId="0" fontId="5" fillId="0" borderId="51" xfId="0" applyFont="1" applyFill="1" applyBorder="1" applyAlignment="1">
      <alignment vertical="center"/>
    </xf>
    <xf numFmtId="0" fontId="5" fillId="0" borderId="52" xfId="0" applyFont="1" applyFill="1" applyBorder="1" applyAlignment="1">
      <alignment vertical="center"/>
    </xf>
    <xf numFmtId="10" fontId="0" fillId="0" borderId="20" xfId="0" applyNumberFormat="1" applyFont="1" applyFill="1" applyBorder="1" applyAlignment="1">
      <alignment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8" fontId="6" fillId="5" borderId="3" xfId="6" applyNumberFormat="1" applyFont="1" applyFill="1" applyBorder="1" applyAlignment="1" applyProtection="1">
      <alignment horizontal="right"/>
      <protection locked="0" hidden="1"/>
    </xf>
    <xf numFmtId="0" fontId="6" fillId="4" borderId="1" xfId="6" applyFont="1" applyFill="1" applyBorder="1" applyProtection="1">
      <protection locked="0" hidden="1"/>
    </xf>
    <xf numFmtId="0" fontId="6" fillId="4" borderId="1" xfId="6" applyFont="1" applyFill="1" applyBorder="1" applyAlignment="1" applyProtection="1">
      <alignment horizontal="center"/>
      <protection locked="0" hidden="1"/>
    </xf>
    <xf numFmtId="8" fontId="6" fillId="4" borderId="1" xfId="6" applyNumberFormat="1" applyFont="1" applyFill="1" applyBorder="1" applyAlignment="1" applyProtection="1">
      <alignment horizontal="right"/>
      <protection locked="0" hidden="1"/>
    </xf>
    <xf numFmtId="0" fontId="6" fillId="4" borderId="11" xfId="6" applyFont="1" applyFill="1" applyBorder="1" applyAlignment="1" applyProtection="1">
      <alignment horizontal="center"/>
      <protection locked="0" hidden="1"/>
    </xf>
    <xf numFmtId="0" fontId="6" fillId="4" borderId="11" xfId="6" applyFont="1" applyFill="1" applyBorder="1" applyProtection="1">
      <protection locked="0" hidden="1"/>
    </xf>
    <xf numFmtId="8" fontId="6" fillId="4" borderId="11" xfId="6" applyNumberFormat="1" applyFont="1" applyFill="1" applyBorder="1" applyAlignment="1" applyProtection="1">
      <alignment horizontal="right"/>
      <protection locked="0" hidden="1"/>
    </xf>
    <xf numFmtId="0" fontId="6" fillId="4" borderId="2" xfId="6" applyFont="1" applyFill="1" applyBorder="1" applyProtection="1">
      <protection locked="0" hidden="1"/>
    </xf>
    <xf numFmtId="0" fontId="6" fillId="4" borderId="2" xfId="6" applyFont="1" applyFill="1" applyBorder="1" applyAlignment="1" applyProtection="1">
      <alignment horizontal="center"/>
      <protection locked="0" hidden="1"/>
    </xf>
    <xf numFmtId="8" fontId="6" fillId="4" borderId="2" xfId="6" applyNumberFormat="1" applyFont="1" applyFill="1" applyBorder="1" applyAlignment="1" applyProtection="1">
      <alignment horizontal="right"/>
      <protection locked="0" hidden="1"/>
    </xf>
    <xf numFmtId="0" fontId="5" fillId="4" borderId="1" xfId="6" applyFont="1" applyFill="1" applyBorder="1" applyAlignment="1" applyProtection="1">
      <alignment horizontal="center"/>
      <protection locked="0" hidden="1"/>
    </xf>
    <xf numFmtId="0" fontId="5" fillId="4" borderId="1" xfId="6" applyFont="1" applyFill="1" applyBorder="1" applyProtection="1">
      <protection locked="0" hidden="1"/>
    </xf>
    <xf numFmtId="8" fontId="5" fillId="4" borderId="1" xfId="6" applyNumberFormat="1" applyFont="1" applyFill="1" applyBorder="1" applyAlignment="1" applyProtection="1">
      <alignment horizontal="right"/>
      <protection locked="0" hidden="1"/>
    </xf>
    <xf numFmtId="0" fontId="6" fillId="4" borderId="8" xfId="6" applyFont="1" applyFill="1" applyBorder="1" applyAlignment="1" applyProtection="1">
      <alignment horizontal="center"/>
      <protection locked="0" hidden="1"/>
    </xf>
    <xf numFmtId="0" fontId="6" fillId="4" borderId="10" xfId="6" applyFont="1" applyFill="1" applyBorder="1" applyAlignment="1" applyProtection="1">
      <alignment horizontal="center"/>
      <protection locked="0" hidden="1"/>
    </xf>
    <xf numFmtId="0" fontId="6" fillId="4" borderId="13" xfId="6" applyFont="1" applyFill="1" applyBorder="1" applyAlignment="1" applyProtection="1">
      <alignment horizontal="center"/>
      <protection locked="0" hidden="1"/>
    </xf>
    <xf numFmtId="0" fontId="5" fillId="4" borderId="8" xfId="6" applyFont="1" applyFill="1" applyBorder="1" applyAlignment="1" applyProtection="1">
      <alignment horizontal="center"/>
      <protection locked="0" hidden="1"/>
    </xf>
    <xf numFmtId="0" fontId="5" fillId="0" borderId="0" xfId="0" applyFont="1" applyFill="1"/>
    <xf numFmtId="0" fontId="6" fillId="5" borderId="1" xfId="6" applyFont="1" applyFill="1" applyBorder="1" applyProtection="1">
      <protection locked="0" hidden="1"/>
    </xf>
    <xf numFmtId="0" fontId="6" fillId="5" borderId="1" xfId="6" applyFont="1" applyFill="1" applyBorder="1" applyAlignment="1" applyProtection="1">
      <alignment horizontal="center"/>
      <protection locked="0" hidden="1"/>
    </xf>
    <xf numFmtId="0" fontId="5" fillId="5" borderId="1" xfId="0" applyFont="1" applyFill="1" applyBorder="1"/>
    <xf numFmtId="0" fontId="6" fillId="5" borderId="11" xfId="6" applyFont="1" applyFill="1" applyBorder="1" applyAlignment="1" applyProtection="1">
      <alignment horizontal="center"/>
      <protection locked="0" hidden="1"/>
    </xf>
    <xf numFmtId="0" fontId="6" fillId="5" borderId="11" xfId="6" applyFont="1" applyFill="1" applyBorder="1" applyProtection="1">
      <protection locked="0" hidden="1"/>
    </xf>
    <xf numFmtId="0" fontId="5" fillId="5" borderId="11" xfId="0" applyFont="1" applyFill="1" applyBorder="1"/>
    <xf numFmtId="0" fontId="5" fillId="4" borderId="1" xfId="6" applyFont="1" applyFill="1" applyBorder="1" applyAlignment="1" applyProtection="1">
      <alignment horizontal="center"/>
      <protection locked="0" hidden="1"/>
    </xf>
    <xf numFmtId="8" fontId="5" fillId="5" borderId="9" xfId="6" applyNumberFormat="1" applyFont="1" applyFill="1" applyBorder="1" applyAlignment="1" applyProtection="1">
      <alignment horizontal="right"/>
      <protection locked="0" hidden="1"/>
    </xf>
    <xf numFmtId="0" fontId="5" fillId="5" borderId="1" xfId="6" applyFont="1" applyFill="1" applyBorder="1" applyAlignment="1" applyProtection="1">
      <alignment horizontal="center"/>
      <protection locked="0" hidden="1"/>
    </xf>
    <xf numFmtId="0" fontId="5" fillId="5" borderId="1" xfId="6" applyFont="1" applyFill="1" applyBorder="1" applyProtection="1">
      <protection locked="0" hidden="1"/>
    </xf>
    <xf numFmtId="165" fontId="6" fillId="5" borderId="1" xfId="1" applyNumberFormat="1" applyFont="1" applyFill="1" applyBorder="1" applyAlignment="1">
      <alignment horizontal="right"/>
    </xf>
    <xf numFmtId="165" fontId="6" fillId="5" borderId="11" xfId="1" applyNumberFormat="1" applyFont="1" applyFill="1" applyBorder="1" applyAlignment="1">
      <alignment horizontal="right"/>
    </xf>
    <xf numFmtId="165" fontId="5" fillId="5" borderId="1" xfId="1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1" fontId="6" fillId="5" borderId="8" xfId="0" applyNumberFormat="1" applyFont="1" applyFill="1" applyBorder="1" applyAlignment="1">
      <alignment horizontal="center" vertical="center"/>
    </xf>
    <xf numFmtId="1" fontId="6" fillId="5" borderId="10" xfId="0" applyNumberFormat="1" applyFont="1" applyFill="1" applyBorder="1" applyAlignment="1">
      <alignment horizontal="center" vertical="center"/>
    </xf>
    <xf numFmtId="0" fontId="5" fillId="4" borderId="8" xfId="6" applyFont="1" applyFill="1" applyBorder="1" applyAlignment="1" applyProtection="1">
      <alignment horizontal="center"/>
      <protection locked="0" hidden="1"/>
    </xf>
    <xf numFmtId="1" fontId="5" fillId="5" borderId="8" xfId="0" applyNumberFormat="1" applyFont="1" applyFill="1" applyBorder="1" applyAlignment="1">
      <alignment horizontal="center" vertical="center"/>
    </xf>
    <xf numFmtId="0" fontId="9" fillId="2" borderId="5" xfId="6" applyFont="1" applyFill="1" applyBorder="1" applyAlignment="1" applyProtection="1">
      <protection locked="0" hidden="1"/>
    </xf>
    <xf numFmtId="0" fontId="9" fillId="2" borderId="6" xfId="6" applyFont="1" applyFill="1" applyBorder="1" applyAlignment="1" applyProtection="1">
      <protection locked="0" hidden="1"/>
    </xf>
    <xf numFmtId="0" fontId="9" fillId="2" borderId="7" xfId="6" applyFont="1" applyFill="1" applyBorder="1" applyAlignment="1" applyProtection="1">
      <protection locked="0" hidden="1"/>
    </xf>
    <xf numFmtId="8" fontId="5" fillId="4" borderId="9" xfId="6" applyNumberFormat="1" applyFont="1" applyFill="1" applyBorder="1" applyAlignment="1" applyProtection="1">
      <alignment horizontal="right"/>
      <protection locked="0" hidden="1"/>
    </xf>
    <xf numFmtId="0" fontId="6" fillId="4" borderId="1" xfId="6" applyFont="1" applyFill="1" applyBorder="1" applyProtection="1">
      <protection locked="0" hidden="1"/>
    </xf>
    <xf numFmtId="0" fontId="6" fillId="4" borderId="1" xfId="6" applyFont="1" applyFill="1" applyBorder="1" applyProtection="1">
      <protection locked="0" hidden="1"/>
    </xf>
    <xf numFmtId="0" fontId="6" fillId="4" borderId="1" xfId="6" applyFont="1" applyFill="1" applyBorder="1" applyProtection="1">
      <protection locked="0" hidden="1"/>
    </xf>
    <xf numFmtId="0" fontId="5" fillId="4" borderId="1" xfId="6" applyFont="1" applyFill="1" applyBorder="1" applyAlignment="1" applyProtection="1">
      <alignment horizontal="center"/>
      <protection locked="0" hidden="1"/>
    </xf>
    <xf numFmtId="0" fontId="5" fillId="4" borderId="1" xfId="6" applyFont="1" applyFill="1" applyBorder="1" applyProtection="1">
      <protection locked="0" hidden="1"/>
    </xf>
    <xf numFmtId="0" fontId="5" fillId="0" borderId="0" xfId="0" applyFont="1" applyFill="1"/>
    <xf numFmtId="0" fontId="6" fillId="4" borderId="1" xfId="6" applyFont="1" applyFill="1" applyBorder="1" applyProtection="1">
      <protection locked="0" hidden="1"/>
    </xf>
    <xf numFmtId="8" fontId="5" fillId="4" borderId="1" xfId="6" applyNumberFormat="1" applyFont="1" applyFill="1" applyBorder="1" applyAlignment="1" applyProtection="1">
      <alignment horizontal="right"/>
      <protection locked="0" hidden="1"/>
    </xf>
    <xf numFmtId="0" fontId="5" fillId="5" borderId="1" xfId="6" applyFont="1" applyFill="1" applyBorder="1" applyAlignment="1" applyProtection="1">
      <alignment horizontal="center"/>
      <protection locked="0" hidden="1"/>
    </xf>
    <xf numFmtId="165" fontId="5" fillId="5" borderId="1" xfId="1" applyNumberFormat="1" applyFont="1" applyFill="1" applyBorder="1" applyAlignment="1">
      <alignment horizontal="right"/>
    </xf>
    <xf numFmtId="1" fontId="5" fillId="5" borderId="8" xfId="0" applyNumberFormat="1" applyFont="1" applyFill="1" applyBorder="1" applyAlignment="1">
      <alignment horizontal="center" vertical="center"/>
    </xf>
    <xf numFmtId="8" fontId="5" fillId="4" borderId="9" xfId="6" applyNumberFormat="1" applyFont="1" applyFill="1" applyBorder="1" applyAlignment="1" applyProtection="1">
      <alignment horizontal="right"/>
      <protection locked="0" hidden="1"/>
    </xf>
    <xf numFmtId="0" fontId="6" fillId="5" borderId="1" xfId="6" applyFont="1" applyFill="1" applyBorder="1" applyAlignment="1" applyProtection="1">
      <alignment horizontal="center"/>
      <protection locked="0" hidden="1"/>
    </xf>
    <xf numFmtId="0" fontId="5" fillId="5" borderId="1" xfId="0" applyFont="1" applyFill="1" applyBorder="1"/>
    <xf numFmtId="0" fontId="6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6" fillId="5" borderId="1" xfId="6" applyFont="1" applyFill="1" applyBorder="1" applyProtection="1">
      <protection locked="0" hidden="1"/>
    </xf>
    <xf numFmtId="0" fontId="6" fillId="5" borderId="1" xfId="6" applyFont="1" applyFill="1" applyBorder="1" applyProtection="1">
      <protection locked="0" hidden="1"/>
    </xf>
    <xf numFmtId="0" fontId="6" fillId="5" borderId="1" xfId="6" applyFont="1" applyFill="1" applyBorder="1" applyProtection="1">
      <protection locked="0" hidden="1"/>
    </xf>
    <xf numFmtId="0" fontId="6" fillId="5" borderId="1" xfId="0" applyFont="1" applyFill="1" applyBorder="1"/>
    <xf numFmtId="0" fontId="6" fillId="5" borderId="1" xfId="6" applyFont="1" applyFill="1" applyBorder="1" applyAlignment="1" applyProtection="1">
      <alignment horizontal="center"/>
      <protection locked="0" hidden="1"/>
    </xf>
    <xf numFmtId="0" fontId="6" fillId="5" borderId="1" xfId="0" applyFont="1" applyFill="1" applyBorder="1"/>
    <xf numFmtId="0" fontId="5" fillId="0" borderId="0" xfId="0" applyFont="1" applyFill="1"/>
    <xf numFmtId="0" fontId="6" fillId="4" borderId="1" xfId="6" applyFont="1" applyFill="1" applyBorder="1" applyProtection="1">
      <protection locked="0" hidden="1"/>
    </xf>
    <xf numFmtId="0" fontId="6" fillId="4" borderId="1" xfId="6" applyFont="1" applyFill="1" applyBorder="1" applyAlignment="1" applyProtection="1">
      <alignment horizontal="center"/>
      <protection locked="0" hidden="1"/>
    </xf>
    <xf numFmtId="0" fontId="6" fillId="5" borderId="1" xfId="6" applyFont="1" applyFill="1" applyBorder="1" applyProtection="1">
      <protection locked="0" hidden="1"/>
    </xf>
    <xf numFmtId="0" fontId="6" fillId="5" borderId="1" xfId="6" applyFont="1" applyFill="1" applyBorder="1" applyAlignment="1" applyProtection="1">
      <alignment horizontal="center"/>
      <protection locked="0" hidden="1"/>
    </xf>
    <xf numFmtId="0" fontId="5" fillId="5" borderId="1" xfId="0" applyFont="1" applyFill="1" applyBorder="1"/>
    <xf numFmtId="8" fontId="6" fillId="5" borderId="9" xfId="6" applyNumberFormat="1" applyFont="1" applyFill="1" applyBorder="1" applyAlignment="1" applyProtection="1">
      <alignment horizontal="right"/>
      <protection locked="0" hidden="1"/>
    </xf>
    <xf numFmtId="8" fontId="6" fillId="4" borderId="9" xfId="6" applyNumberFormat="1" applyFont="1" applyFill="1" applyBorder="1" applyAlignment="1" applyProtection="1">
      <alignment horizontal="right"/>
      <protection locked="0" hidden="1"/>
    </xf>
    <xf numFmtId="0" fontId="5" fillId="5" borderId="11" xfId="0" applyFont="1" applyFill="1" applyBorder="1"/>
    <xf numFmtId="0" fontId="0" fillId="0" borderId="0" xfId="0" applyFill="1" applyBorder="1"/>
    <xf numFmtId="0" fontId="5" fillId="4" borderId="1" xfId="6" applyFont="1" applyFill="1" applyBorder="1" applyAlignment="1" applyProtection="1">
      <alignment horizontal="center"/>
      <protection locked="0" hidden="1"/>
    </xf>
    <xf numFmtId="8" fontId="5" fillId="5" borderId="9" xfId="6" applyNumberFormat="1" applyFont="1" applyFill="1" applyBorder="1" applyAlignment="1" applyProtection="1">
      <alignment horizontal="right"/>
      <protection locked="0" hidden="1"/>
    </xf>
    <xf numFmtId="0" fontId="5" fillId="5" borderId="1" xfId="6" applyFont="1" applyFill="1" applyBorder="1" applyAlignment="1" applyProtection="1">
      <alignment horizontal="center"/>
      <protection locked="0" hidden="1"/>
    </xf>
    <xf numFmtId="0" fontId="5" fillId="5" borderId="1" xfId="6" applyFont="1" applyFill="1" applyBorder="1" applyProtection="1">
      <protection locked="0" hidden="1"/>
    </xf>
    <xf numFmtId="165" fontId="6" fillId="5" borderId="1" xfId="1" applyNumberFormat="1" applyFont="1" applyFill="1" applyBorder="1" applyAlignment="1">
      <alignment horizontal="right"/>
    </xf>
    <xf numFmtId="165" fontId="6" fillId="4" borderId="1" xfId="6" applyNumberFormat="1" applyFont="1" applyFill="1" applyBorder="1" applyAlignment="1" applyProtection="1">
      <alignment horizontal="right"/>
      <protection locked="0" hidden="1"/>
    </xf>
    <xf numFmtId="165" fontId="6" fillId="4" borderId="9" xfId="6" applyNumberFormat="1" applyFont="1" applyFill="1" applyBorder="1" applyAlignment="1" applyProtection="1">
      <alignment horizontal="right"/>
      <protection locked="0" hidden="1"/>
    </xf>
    <xf numFmtId="0" fontId="5" fillId="5" borderId="1" xfId="0" applyFont="1" applyFill="1" applyBorder="1" applyAlignment="1">
      <alignment horizontal="center"/>
    </xf>
    <xf numFmtId="165" fontId="6" fillId="5" borderId="9" xfId="6" applyNumberFormat="1" applyFont="1" applyFill="1" applyBorder="1" applyAlignment="1" applyProtection="1">
      <alignment horizontal="right"/>
      <protection locked="0" hidden="1"/>
    </xf>
    <xf numFmtId="165" fontId="6" fillId="5" borderId="1" xfId="6" applyNumberFormat="1" applyFont="1" applyFill="1" applyBorder="1" applyAlignment="1" applyProtection="1">
      <alignment horizontal="right"/>
      <protection locked="0" hidden="1"/>
    </xf>
    <xf numFmtId="0" fontId="6" fillId="4" borderId="8" xfId="6" applyFont="1" applyFill="1" applyBorder="1" applyAlignment="1" applyProtection="1">
      <alignment horizontal="center"/>
      <protection locked="0" hidden="1"/>
    </xf>
    <xf numFmtId="0" fontId="6" fillId="5" borderId="8" xfId="6" applyFont="1" applyFill="1" applyBorder="1" applyAlignment="1" applyProtection="1">
      <alignment horizontal="center"/>
      <protection locked="0" hidden="1"/>
    </xf>
    <xf numFmtId="1" fontId="5" fillId="5" borderId="8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/>
    <xf numFmtId="0" fontId="7" fillId="2" borderId="7" xfId="0" applyFont="1" applyFill="1" applyBorder="1" applyAlignment="1"/>
    <xf numFmtId="0" fontId="7" fillId="2" borderId="5" xfId="6" applyFont="1" applyFill="1" applyBorder="1" applyAlignment="1" applyProtection="1">
      <protection locked="0" hidden="1"/>
    </xf>
    <xf numFmtId="0" fontId="5" fillId="2" borderId="6" xfId="6" applyFont="1" applyFill="1" applyBorder="1" applyAlignment="1" applyProtection="1">
      <protection locked="0" hidden="1"/>
    </xf>
    <xf numFmtId="0" fontId="5" fillId="2" borderId="7" xfId="6" applyFont="1" applyFill="1" applyBorder="1" applyAlignment="1" applyProtection="1">
      <protection locked="0" hidden="1"/>
    </xf>
    <xf numFmtId="1" fontId="5" fillId="5" borderId="10" xfId="0" applyNumberFormat="1" applyFont="1" applyFill="1" applyBorder="1" applyAlignment="1">
      <alignment horizontal="center" vertical="center"/>
    </xf>
    <xf numFmtId="0" fontId="5" fillId="5" borderId="11" xfId="6" applyFont="1" applyFill="1" applyBorder="1" applyAlignment="1" applyProtection="1">
      <alignment horizontal="center"/>
      <protection locked="0" hidden="1"/>
    </xf>
    <xf numFmtId="0" fontId="5" fillId="5" borderId="11" xfId="6" applyFont="1" applyFill="1" applyBorder="1" applyProtection="1">
      <protection locked="0" hidden="1"/>
    </xf>
    <xf numFmtId="8" fontId="5" fillId="5" borderId="12" xfId="6" applyNumberFormat="1" applyFont="1" applyFill="1" applyBorder="1" applyAlignment="1" applyProtection="1">
      <alignment horizontal="right"/>
      <protection locked="0" hidden="1"/>
    </xf>
    <xf numFmtId="0" fontId="42" fillId="0" borderId="0" xfId="0" applyFont="1" applyFill="1" applyBorder="1"/>
    <xf numFmtId="0" fontId="34" fillId="0" borderId="32" xfId="0" applyFont="1" applyBorder="1" applyAlignment="1" applyProtection="1">
      <alignment horizontal="left" vertical="top" wrapText="1"/>
      <protection locked="0" hidden="1"/>
    </xf>
    <xf numFmtId="0" fontId="6" fillId="4" borderId="1" xfId="6" applyFont="1" applyFill="1" applyBorder="1" applyProtection="1">
      <protection locked="0" hidden="1"/>
    </xf>
    <xf numFmtId="0" fontId="6" fillId="4" borderId="1" xfId="6" applyFont="1" applyFill="1" applyBorder="1" applyAlignment="1" applyProtection="1">
      <alignment horizontal="center"/>
      <protection locked="0" hidden="1"/>
    </xf>
    <xf numFmtId="8" fontId="6" fillId="4" borderId="1" xfId="6" applyNumberFormat="1" applyFont="1" applyFill="1" applyBorder="1" applyAlignment="1" applyProtection="1">
      <alignment horizontal="right"/>
      <protection locked="0" hidden="1"/>
    </xf>
    <xf numFmtId="0" fontId="6" fillId="4" borderId="8" xfId="6" applyFont="1" applyFill="1" applyBorder="1" applyAlignment="1" applyProtection="1">
      <alignment horizontal="center"/>
      <protection locked="0" hidden="1"/>
    </xf>
    <xf numFmtId="1" fontId="9" fillId="2" borderId="5" xfId="0" applyNumberFormat="1" applyFont="1" applyFill="1" applyBorder="1" applyAlignment="1">
      <alignment vertical="center"/>
    </xf>
    <xf numFmtId="1" fontId="9" fillId="2" borderId="6" xfId="0" applyNumberFormat="1" applyFont="1" applyFill="1" applyBorder="1" applyAlignment="1">
      <alignment vertical="center"/>
    </xf>
    <xf numFmtId="0" fontId="5" fillId="0" borderId="0" xfId="0" applyFont="1" applyFill="1"/>
    <xf numFmtId="0" fontId="6" fillId="5" borderId="1" xfId="6" applyFont="1" applyFill="1" applyBorder="1" applyProtection="1">
      <protection locked="0" hidden="1"/>
    </xf>
    <xf numFmtId="0" fontId="6" fillId="5" borderId="1" xfId="6" applyFont="1" applyFill="1" applyBorder="1" applyAlignment="1" applyProtection="1">
      <alignment horizontal="center"/>
      <protection locked="0" hidden="1"/>
    </xf>
    <xf numFmtId="0" fontId="5" fillId="5" borderId="1" xfId="0" applyFont="1" applyFill="1" applyBorder="1"/>
    <xf numFmtId="0" fontId="6" fillId="5" borderId="3" xfId="6" applyFont="1" applyFill="1" applyBorder="1" applyProtection="1">
      <protection locked="0" hidden="1"/>
    </xf>
    <xf numFmtId="0" fontId="6" fillId="5" borderId="3" xfId="6" applyFont="1" applyFill="1" applyBorder="1" applyAlignment="1" applyProtection="1">
      <alignment horizontal="center"/>
      <protection locked="0" hidden="1"/>
    </xf>
    <xf numFmtId="0" fontId="5" fillId="5" borderId="3" xfId="0" applyFont="1" applyFill="1" applyBorder="1"/>
    <xf numFmtId="165" fontId="6" fillId="5" borderId="1" xfId="1" applyNumberFormat="1" applyFont="1" applyFill="1" applyBorder="1" applyAlignment="1">
      <alignment horizontal="right"/>
    </xf>
    <xf numFmtId="165" fontId="6" fillId="5" borderId="3" xfId="1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center"/>
    </xf>
    <xf numFmtId="1" fontId="6" fillId="5" borderId="8" xfId="0" applyNumberFormat="1" applyFont="1" applyFill="1" applyBorder="1" applyAlignment="1">
      <alignment horizontal="center" vertical="center"/>
    </xf>
    <xf numFmtId="1" fontId="6" fillId="5" borderId="15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/>
    </xf>
    <xf numFmtId="1" fontId="9" fillId="2" borderId="5" xfId="0" applyNumberFormat="1" applyFont="1" applyFill="1" applyBorder="1" applyAlignment="1">
      <alignment vertical="center"/>
    </xf>
    <xf numFmtId="1" fontId="9" fillId="2" borderId="6" xfId="0" applyNumberFormat="1" applyFont="1" applyFill="1" applyBorder="1" applyAlignment="1">
      <alignment vertical="center"/>
    </xf>
    <xf numFmtId="0" fontId="6" fillId="4" borderId="1" xfId="6" applyFont="1" applyFill="1" applyBorder="1" applyProtection="1">
      <protection locked="0" hidden="1"/>
    </xf>
    <xf numFmtId="0" fontId="6" fillId="4" borderId="1" xfId="6" applyFont="1" applyFill="1" applyBorder="1" applyAlignment="1" applyProtection="1">
      <alignment horizontal="center"/>
      <protection locked="0" hidden="1"/>
    </xf>
    <xf numFmtId="8" fontId="6" fillId="4" borderId="1" xfId="6" applyNumberFormat="1" applyFont="1" applyFill="1" applyBorder="1" applyAlignment="1" applyProtection="1">
      <alignment horizontal="right"/>
      <protection locked="0" hidden="1"/>
    </xf>
    <xf numFmtId="8" fontId="6" fillId="4" borderId="9" xfId="6" applyNumberFormat="1" applyFont="1" applyFill="1" applyBorder="1" applyAlignment="1" applyProtection="1">
      <alignment horizontal="right"/>
      <protection locked="0" hidden="1"/>
    </xf>
    <xf numFmtId="0" fontId="6" fillId="4" borderId="8" xfId="6" applyFont="1" applyFill="1" applyBorder="1" applyAlignment="1" applyProtection="1">
      <alignment horizontal="center"/>
      <protection locked="0" hidden="1"/>
    </xf>
    <xf numFmtId="0" fontId="5" fillId="0" borderId="0" xfId="0" applyFont="1" applyFill="1"/>
    <xf numFmtId="0" fontId="5" fillId="5" borderId="1" xfId="0" applyFont="1" applyFill="1" applyBorder="1"/>
    <xf numFmtId="0" fontId="8" fillId="0" borderId="0" xfId="0" applyFont="1" applyFill="1"/>
    <xf numFmtId="0" fontId="0" fillId="0" borderId="0" xfId="0" applyFont="1" applyFill="1"/>
    <xf numFmtId="0" fontId="16" fillId="0" borderId="0" xfId="0" applyFont="1" applyFill="1"/>
    <xf numFmtId="0" fontId="5" fillId="5" borderId="1" xfId="6" applyFont="1" applyFill="1" applyBorder="1" applyAlignment="1" applyProtection="1">
      <alignment horizontal="center"/>
      <protection locked="0" hidden="1"/>
    </xf>
    <xf numFmtId="0" fontId="5" fillId="5" borderId="1" xfId="6" applyFont="1" applyFill="1" applyBorder="1" applyProtection="1">
      <protection locked="0" hidden="1"/>
    </xf>
    <xf numFmtId="165" fontId="6" fillId="5" borderId="1" xfId="1" applyNumberFormat="1" applyFont="1" applyFill="1" applyBorder="1" applyAlignment="1">
      <alignment horizontal="right"/>
    </xf>
    <xf numFmtId="165" fontId="6" fillId="5" borderId="11" xfId="1" applyNumberFormat="1" applyFont="1" applyFill="1" applyBorder="1" applyAlignment="1">
      <alignment horizontal="right"/>
    </xf>
    <xf numFmtId="165" fontId="5" fillId="5" borderId="1" xfId="1" applyNumberFormat="1" applyFont="1" applyFill="1" applyBorder="1" applyAlignment="1">
      <alignment horizontal="right"/>
    </xf>
    <xf numFmtId="0" fontId="14" fillId="0" borderId="0" xfId="0" applyFont="1" applyFill="1"/>
    <xf numFmtId="0" fontId="5" fillId="5" borderId="1" xfId="0" applyFont="1" applyFill="1" applyBorder="1" applyAlignment="1">
      <alignment horizontal="center"/>
    </xf>
    <xf numFmtId="1" fontId="5" fillId="5" borderId="8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5" fillId="0" borderId="0" xfId="0" applyFont="1" applyFill="1" applyAlignment="1">
      <alignment horizontal="left" vertical="center"/>
    </xf>
    <xf numFmtId="8" fontId="5" fillId="0" borderId="0" xfId="0" applyNumberFormat="1" applyFont="1" applyFill="1"/>
    <xf numFmtId="8" fontId="0" fillId="0" borderId="0" xfId="0" applyNumberFormat="1" applyFill="1" applyProtection="1">
      <protection locked="0" hidden="1"/>
    </xf>
    <xf numFmtId="8" fontId="34" fillId="0" borderId="0" xfId="0" applyNumberFormat="1" applyFont="1" applyBorder="1" applyAlignment="1" applyProtection="1">
      <alignment horizontal="right" vertical="top" wrapText="1"/>
      <protection locked="0" hidden="1"/>
    </xf>
    <xf numFmtId="0" fontId="5" fillId="0" borderId="0" xfId="0" quotePrefix="1" applyFont="1"/>
    <xf numFmtId="0" fontId="6" fillId="4" borderId="1" xfId="6" applyFont="1" applyFill="1" applyBorder="1" applyProtection="1">
      <protection locked="0" hidden="1"/>
    </xf>
    <xf numFmtId="0" fontId="5" fillId="4" borderId="1" xfId="6" applyFont="1" applyFill="1" applyBorder="1" applyProtection="1">
      <protection locked="0" hidden="1"/>
    </xf>
    <xf numFmtId="0" fontId="5" fillId="4" borderId="11" xfId="6" applyFont="1" applyFill="1" applyBorder="1" applyProtection="1">
      <protection locked="0" hidden="1"/>
    </xf>
    <xf numFmtId="0" fontId="6" fillId="5" borderId="1" xfId="6" applyFont="1" applyFill="1" applyBorder="1" applyProtection="1">
      <protection locked="0" hidden="1"/>
    </xf>
    <xf numFmtId="0" fontId="5" fillId="5" borderId="1" xfId="0" applyFont="1" applyFill="1" applyBorder="1"/>
    <xf numFmtId="0" fontId="5" fillId="5" borderId="11" xfId="0" applyFont="1" applyFill="1" applyBorder="1"/>
    <xf numFmtId="0" fontId="9" fillId="2" borderId="5" xfId="6" applyFont="1" applyFill="1" applyBorder="1" applyAlignment="1" applyProtection="1">
      <protection locked="0" hidden="1"/>
    </xf>
    <xf numFmtId="0" fontId="17" fillId="0" borderId="0" xfId="0" applyFont="1" applyFill="1"/>
    <xf numFmtId="0" fontId="17" fillId="0" borderId="0" xfId="0" applyFont="1" applyFill="1" applyAlignment="1">
      <alignment horizontal="center"/>
    </xf>
    <xf numFmtId="0" fontId="17" fillId="0" borderId="0" xfId="0" applyFont="1" applyFill="1" applyAlignment="1">
      <alignment horizontal="right"/>
    </xf>
    <xf numFmtId="0" fontId="7" fillId="2" borderId="17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0" fillId="0" borderId="0" xfId="0"/>
    <xf numFmtId="0" fontId="6" fillId="4" borderId="1" xfId="6" applyFont="1" applyFill="1" applyBorder="1" applyProtection="1">
      <protection locked="0" hidden="1"/>
    </xf>
    <xf numFmtId="0" fontId="6" fillId="4" borderId="1" xfId="6" applyFont="1" applyFill="1" applyBorder="1" applyAlignment="1" applyProtection="1">
      <alignment horizontal="center"/>
      <protection locked="0" hidden="1"/>
    </xf>
    <xf numFmtId="0" fontId="6" fillId="5" borderId="1" xfId="6" applyFont="1" applyFill="1" applyBorder="1" applyProtection="1">
      <protection locked="0" hidden="1"/>
    </xf>
    <xf numFmtId="0" fontId="6" fillId="5" borderId="1" xfId="6" applyFont="1" applyFill="1" applyBorder="1" applyAlignment="1" applyProtection="1">
      <alignment horizontal="center"/>
      <protection locked="0" hidden="1"/>
    </xf>
    <xf numFmtId="1" fontId="6" fillId="5" borderId="1" xfId="0" applyNumberFormat="1" applyFont="1" applyFill="1" applyBorder="1" applyAlignment="1">
      <alignment horizontal="left" vertical="center"/>
    </xf>
    <xf numFmtId="1" fontId="6" fillId="5" borderId="11" xfId="0" applyNumberFormat="1" applyFont="1" applyFill="1" applyBorder="1" applyAlignment="1">
      <alignment horizontal="left" vertical="center"/>
    </xf>
    <xf numFmtId="165" fontId="6" fillId="4" borderId="1" xfId="6" applyNumberFormat="1" applyFont="1" applyFill="1" applyBorder="1" applyAlignment="1" applyProtection="1">
      <alignment horizontal="right"/>
      <protection locked="0" hidden="1"/>
    </xf>
    <xf numFmtId="165" fontId="6" fillId="4" borderId="9" xfId="6" applyNumberFormat="1" applyFont="1" applyFill="1" applyBorder="1" applyAlignment="1" applyProtection="1">
      <alignment horizontal="right"/>
      <protection locked="0" hidden="1"/>
    </xf>
    <xf numFmtId="165" fontId="6" fillId="5" borderId="9" xfId="6" applyNumberFormat="1" applyFont="1" applyFill="1" applyBorder="1" applyAlignment="1" applyProtection="1">
      <alignment horizontal="right"/>
      <protection locked="0" hidden="1"/>
    </xf>
    <xf numFmtId="165" fontId="6" fillId="5" borderId="1" xfId="6" applyNumberFormat="1" applyFont="1" applyFill="1" applyBorder="1" applyAlignment="1" applyProtection="1">
      <alignment horizontal="right"/>
      <protection locked="0" hidden="1"/>
    </xf>
    <xf numFmtId="1" fontId="6" fillId="5" borderId="1" xfId="0" applyNumberFormat="1" applyFont="1" applyFill="1" applyBorder="1" applyAlignment="1">
      <alignment horizontal="center" vertical="center"/>
    </xf>
    <xf numFmtId="1" fontId="6" fillId="5" borderId="11" xfId="0" applyNumberFormat="1" applyFont="1" applyFill="1" applyBorder="1" applyAlignment="1">
      <alignment horizontal="center" vertical="center"/>
    </xf>
    <xf numFmtId="1" fontId="6" fillId="5" borderId="8" xfId="0" applyNumberFormat="1" applyFont="1" applyFill="1" applyBorder="1" applyAlignment="1">
      <alignment horizontal="center" vertical="center"/>
    </xf>
    <xf numFmtId="1" fontId="6" fillId="5" borderId="10" xfId="0" applyNumberFormat="1" applyFont="1" applyFill="1" applyBorder="1" applyAlignment="1">
      <alignment horizontal="center" vertical="center"/>
    </xf>
    <xf numFmtId="0" fontId="6" fillId="4" borderId="8" xfId="6" applyFont="1" applyFill="1" applyBorder="1" applyAlignment="1" applyProtection="1">
      <alignment horizontal="center"/>
      <protection locked="0" hidden="1"/>
    </xf>
    <xf numFmtId="0" fontId="6" fillId="5" borderId="8" xfId="6" applyFont="1" applyFill="1" applyBorder="1" applyAlignment="1" applyProtection="1">
      <alignment horizontal="center"/>
      <protection locked="0" hidden="1"/>
    </xf>
    <xf numFmtId="1" fontId="9" fillId="2" borderId="6" xfId="0" applyNumberFormat="1" applyFont="1" applyFill="1" applyBorder="1" applyAlignment="1">
      <alignment vertical="center"/>
    </xf>
    <xf numFmtId="0" fontId="7" fillId="2" borderId="5" xfId="6" applyFont="1" applyFill="1" applyBorder="1" applyAlignment="1" applyProtection="1">
      <protection locked="0" hidden="1"/>
    </xf>
    <xf numFmtId="0" fontId="5" fillId="2" borderId="6" xfId="6" applyFont="1" applyFill="1" applyBorder="1" applyAlignment="1" applyProtection="1">
      <protection locked="0" hidden="1"/>
    </xf>
    <xf numFmtId="0" fontId="5" fillId="2" borderId="7" xfId="6" applyFont="1" applyFill="1" applyBorder="1" applyAlignment="1" applyProtection="1">
      <protection locked="0" hidden="1"/>
    </xf>
    <xf numFmtId="44" fontId="6" fillId="4" borderId="1" xfId="1" applyFont="1" applyFill="1" applyBorder="1" applyAlignment="1" applyProtection="1">
      <alignment horizontal="center"/>
      <protection locked="0" hidden="1"/>
    </xf>
    <xf numFmtId="44" fontId="6" fillId="4" borderId="9" xfId="1" applyFont="1" applyFill="1" applyBorder="1" applyAlignment="1" applyProtection="1">
      <alignment horizontal="center"/>
      <protection locked="0" hidden="1"/>
    </xf>
    <xf numFmtId="44" fontId="6" fillId="5" borderId="1" xfId="1" applyFont="1" applyFill="1" applyBorder="1" applyAlignment="1">
      <alignment horizontal="center" vertical="center"/>
    </xf>
    <xf numFmtId="44" fontId="6" fillId="5" borderId="9" xfId="1" applyFont="1" applyFill="1" applyBorder="1" applyAlignment="1">
      <alignment horizontal="center" vertical="center"/>
    </xf>
    <xf numFmtId="44" fontId="6" fillId="5" borderId="11" xfId="1" applyFont="1" applyFill="1" applyBorder="1" applyAlignment="1">
      <alignment horizontal="center" vertical="center"/>
    </xf>
    <xf numFmtId="44" fontId="6" fillId="5" borderId="12" xfId="1" applyFont="1" applyFill="1" applyBorder="1" applyAlignment="1">
      <alignment horizontal="center" vertical="center"/>
    </xf>
    <xf numFmtId="0" fontId="6" fillId="5" borderId="1" xfId="6" applyFont="1" applyFill="1" applyBorder="1" applyProtection="1">
      <protection locked="0" hidden="1"/>
    </xf>
    <xf numFmtId="0" fontId="6" fillId="5" borderId="1" xfId="6" applyFont="1" applyFill="1" applyBorder="1" applyAlignment="1" applyProtection="1">
      <alignment horizontal="center"/>
      <protection locked="0" hidden="1"/>
    </xf>
    <xf numFmtId="0" fontId="6" fillId="5" borderId="11" xfId="6" applyFont="1" applyFill="1" applyBorder="1" applyAlignment="1" applyProtection="1">
      <alignment horizontal="center"/>
      <protection locked="0" hidden="1"/>
    </xf>
    <xf numFmtId="0" fontId="6" fillId="5" borderId="11" xfId="6" applyFont="1" applyFill="1" applyBorder="1" applyProtection="1">
      <protection locked="0" hidden="1"/>
    </xf>
    <xf numFmtId="165" fontId="6" fillId="5" borderId="9" xfId="6" applyNumberFormat="1" applyFont="1" applyFill="1" applyBorder="1" applyAlignment="1" applyProtection="1">
      <alignment horizontal="right"/>
      <protection locked="0" hidden="1"/>
    </xf>
    <xf numFmtId="165" fontId="6" fillId="5" borderId="12" xfId="6" applyNumberFormat="1" applyFont="1" applyFill="1" applyBorder="1" applyAlignment="1" applyProtection="1">
      <alignment horizontal="right"/>
      <protection locked="0" hidden="1"/>
    </xf>
    <xf numFmtId="165" fontId="6" fillId="5" borderId="1" xfId="6" applyNumberFormat="1" applyFont="1" applyFill="1" applyBorder="1" applyAlignment="1" applyProtection="1">
      <alignment horizontal="right"/>
      <protection locked="0" hidden="1"/>
    </xf>
    <xf numFmtId="165" fontId="6" fillId="5" borderId="11" xfId="6" applyNumberFormat="1" applyFont="1" applyFill="1" applyBorder="1" applyAlignment="1" applyProtection="1">
      <alignment horizontal="right"/>
      <protection locked="0" hidden="1"/>
    </xf>
    <xf numFmtId="0" fontId="6" fillId="5" borderId="8" xfId="6" applyFont="1" applyFill="1" applyBorder="1" applyAlignment="1" applyProtection="1">
      <alignment horizontal="center"/>
      <protection locked="0" hidden="1"/>
    </xf>
    <xf numFmtId="0" fontId="6" fillId="5" borderId="10" xfId="6" applyFont="1" applyFill="1" applyBorder="1" applyAlignment="1" applyProtection="1">
      <alignment horizontal="center"/>
      <protection locked="0" hidden="1"/>
    </xf>
    <xf numFmtId="1" fontId="9" fillId="2" borderId="5" xfId="0" applyNumberFormat="1" applyFont="1" applyFill="1" applyBorder="1" applyAlignment="1">
      <alignment vertical="center"/>
    </xf>
    <xf numFmtId="1" fontId="9" fillId="2" borderId="6" xfId="0" applyNumberFormat="1" applyFont="1" applyFill="1" applyBorder="1" applyAlignment="1">
      <alignment vertical="center"/>
    </xf>
    <xf numFmtId="1" fontId="9" fillId="2" borderId="7" xfId="0" applyNumberFormat="1" applyFont="1" applyFill="1" applyBorder="1" applyAlignment="1">
      <alignment vertical="center"/>
    </xf>
    <xf numFmtId="0" fontId="0" fillId="0" borderId="0" xfId="0" applyProtection="1">
      <protection locked="0" hidden="1"/>
    </xf>
    <xf numFmtId="0" fontId="17" fillId="2" borderId="21" xfId="0" applyFont="1" applyFill="1" applyBorder="1" applyAlignment="1">
      <alignment horizontal="left"/>
    </xf>
    <xf numFmtId="0" fontId="17" fillId="2" borderId="22" xfId="0" applyFont="1" applyFill="1" applyBorder="1"/>
    <xf numFmtId="0" fontId="17" fillId="2" borderId="22" xfId="0" applyFont="1" applyFill="1" applyBorder="1" applyAlignment="1">
      <alignment horizontal="center"/>
    </xf>
    <xf numFmtId="0" fontId="17" fillId="2" borderId="23" xfId="0" applyFont="1" applyFill="1" applyBorder="1"/>
    <xf numFmtId="0" fontId="17" fillId="2" borderId="24" xfId="0" applyFont="1" applyFill="1" applyBorder="1" applyAlignment="1">
      <alignment horizontal="left"/>
    </xf>
    <xf numFmtId="0" fontId="17" fillId="2" borderId="0" xfId="0" applyFont="1" applyFill="1" applyBorder="1"/>
    <xf numFmtId="0" fontId="17" fillId="2" borderId="0" xfId="0" applyFont="1" applyFill="1" applyBorder="1" applyAlignment="1">
      <alignment horizontal="center"/>
    </xf>
    <xf numFmtId="0" fontId="17" fillId="2" borderId="25" xfId="0" applyFont="1" applyFill="1" applyBorder="1"/>
    <xf numFmtId="0" fontId="17" fillId="2" borderId="0" xfId="0" applyFont="1" applyFill="1" applyBorder="1" applyAlignment="1">
      <alignment horizontal="left"/>
    </xf>
    <xf numFmtId="0" fontId="17" fillId="2" borderId="25" xfId="0" applyFont="1" applyFill="1" applyBorder="1" applyAlignment="1">
      <alignment horizontal="left"/>
    </xf>
    <xf numFmtId="0" fontId="17" fillId="2" borderId="26" xfId="0" applyFont="1" applyFill="1" applyBorder="1" applyAlignment="1">
      <alignment horizontal="left"/>
    </xf>
    <xf numFmtId="0" fontId="17" fillId="2" borderId="27" xfId="0" applyFont="1" applyFill="1" applyBorder="1" applyAlignment="1">
      <alignment horizontal="left"/>
    </xf>
    <xf numFmtId="0" fontId="17" fillId="2" borderId="28" xfId="0" applyFont="1" applyFill="1" applyBorder="1" applyAlignment="1">
      <alignment horizontal="left"/>
    </xf>
    <xf numFmtId="4" fontId="25" fillId="7" borderId="0" xfId="0" applyNumberFormat="1" applyFont="1" applyFill="1" applyBorder="1" applyProtection="1">
      <protection locked="0" hidden="1"/>
    </xf>
    <xf numFmtId="1" fontId="25" fillId="7" borderId="0" xfId="0" applyNumberFormat="1" applyFont="1" applyFill="1" applyBorder="1" applyProtection="1">
      <protection locked="0" hidden="1"/>
    </xf>
    <xf numFmtId="4" fontId="40" fillId="7" borderId="0" xfId="0" applyNumberFormat="1" applyFont="1" applyFill="1" applyBorder="1" applyProtection="1">
      <protection locked="0" hidden="1"/>
    </xf>
    <xf numFmtId="0" fontId="37" fillId="7" borderId="0" xfId="0" applyFont="1" applyFill="1" applyBorder="1" applyProtection="1">
      <protection locked="0" hidden="1"/>
    </xf>
    <xf numFmtId="0" fontId="38" fillId="7" borderId="0" xfId="0" applyFont="1" applyFill="1" applyBorder="1" applyProtection="1">
      <protection locked="0" hidden="1"/>
    </xf>
    <xf numFmtId="4" fontId="25" fillId="7" borderId="38" xfId="0" applyNumberFormat="1" applyFont="1" applyFill="1" applyBorder="1" applyProtection="1">
      <protection locked="0" hidden="1"/>
    </xf>
    <xf numFmtId="4" fontId="35" fillId="7" borderId="0" xfId="0" applyNumberFormat="1" applyFont="1" applyFill="1" applyBorder="1" applyAlignment="1" applyProtection="1">
      <protection locked="0" hidden="1"/>
    </xf>
    <xf numFmtId="0" fontId="0" fillId="0" borderId="0" xfId="0" applyProtection="1">
      <protection locked="0" hidden="1"/>
    </xf>
    <xf numFmtId="4" fontId="25" fillId="7" borderId="0" xfId="0" applyNumberFormat="1" applyFont="1" applyFill="1" applyBorder="1" applyAlignment="1" applyProtection="1">
      <alignment horizontal="center"/>
      <protection locked="0" hidden="1"/>
    </xf>
    <xf numFmtId="4" fontId="35" fillId="7" borderId="0" xfId="0" applyNumberFormat="1" applyFont="1" applyFill="1" applyBorder="1" applyAlignment="1" applyProtection="1">
      <alignment horizontal="center"/>
      <protection locked="0" hidden="1"/>
    </xf>
    <xf numFmtId="0" fontId="0" fillId="0" borderId="0" xfId="0"/>
    <xf numFmtId="4" fontId="25" fillId="0" borderId="0" xfId="0" applyNumberFormat="1" applyFont="1" applyFill="1" applyBorder="1" applyProtection="1">
      <protection locked="0" hidden="1"/>
    </xf>
    <xf numFmtId="1" fontId="25" fillId="0" borderId="0" xfId="0" applyNumberFormat="1" applyFont="1" applyFill="1" applyBorder="1" applyProtection="1">
      <protection locked="0" hidden="1"/>
    </xf>
    <xf numFmtId="4" fontId="39" fillId="0" borderId="0" xfId="0" applyNumberFormat="1" applyFont="1" applyFill="1" applyBorder="1" applyProtection="1">
      <protection locked="0" hidden="1"/>
    </xf>
    <xf numFmtId="0" fontId="0" fillId="0" borderId="0" xfId="0" applyFill="1" applyBorder="1" applyProtection="1">
      <protection locked="0" hidden="1"/>
    </xf>
    <xf numFmtId="4" fontId="27" fillId="0" borderId="0" xfId="0" applyNumberFormat="1" applyFont="1" applyFill="1" applyBorder="1" applyAlignment="1" applyProtection="1">
      <alignment horizontal="center" vertical="center"/>
      <protection locked="0" hidden="1"/>
    </xf>
    <xf numFmtId="0" fontId="33" fillId="2" borderId="32" xfId="0" applyFont="1" applyFill="1" applyBorder="1" applyAlignment="1" applyProtection="1">
      <alignment horizontal="center" vertical="top" wrapText="1"/>
      <protection locked="0" hidden="1"/>
    </xf>
    <xf numFmtId="0" fontId="33" fillId="2" borderId="32" xfId="0" applyFont="1" applyFill="1" applyBorder="1" applyAlignment="1" applyProtection="1">
      <alignment vertical="top" wrapText="1"/>
      <protection locked="0" hidden="1"/>
    </xf>
    <xf numFmtId="0" fontId="33" fillId="2" borderId="33" xfId="0" applyFont="1" applyFill="1" applyBorder="1" applyAlignment="1" applyProtection="1">
      <alignment vertical="top" wrapText="1"/>
      <protection locked="0" hidden="1"/>
    </xf>
    <xf numFmtId="0" fontId="0" fillId="0" borderId="0" xfId="0" applyProtection="1">
      <protection locked="0" hidden="1"/>
    </xf>
    <xf numFmtId="4" fontId="28" fillId="0" borderId="0" xfId="0" applyNumberFormat="1" applyFont="1" applyFill="1" applyBorder="1" applyProtection="1">
      <protection locked="0" hidden="1"/>
    </xf>
    <xf numFmtId="0" fontId="33" fillId="2" borderId="29" xfId="0" applyFont="1" applyFill="1" applyBorder="1" applyAlignment="1" applyProtection="1">
      <alignment vertical="top" wrapText="1"/>
      <protection locked="0" hidden="1"/>
    </xf>
    <xf numFmtId="0" fontId="33" fillId="2" borderId="0" xfId="0" applyFont="1" applyFill="1" applyBorder="1" applyAlignment="1" applyProtection="1">
      <alignment vertical="top" wrapText="1"/>
      <protection locked="0" hidden="1"/>
    </xf>
    <xf numFmtId="0" fontId="33" fillId="2" borderId="0" xfId="0" applyFont="1" applyFill="1" applyBorder="1" applyAlignment="1" applyProtection="1">
      <alignment horizontal="center" vertical="top" wrapText="1"/>
      <protection locked="0" hidden="1"/>
    </xf>
    <xf numFmtId="49" fontId="34" fillId="2" borderId="0" xfId="0" applyNumberFormat="1" applyFont="1" applyFill="1" applyBorder="1" applyAlignment="1" applyProtection="1">
      <alignment vertical="center" wrapText="1"/>
      <protection locked="0" hidden="1"/>
    </xf>
    <xf numFmtId="0" fontId="33" fillId="2" borderId="34" xfId="0" applyFont="1" applyFill="1" applyBorder="1" applyAlignment="1" applyProtection="1">
      <alignment vertical="top" wrapText="1"/>
      <protection locked="0" hidden="1"/>
    </xf>
    <xf numFmtId="0" fontId="34" fillId="0" borderId="31" xfId="0" applyFont="1" applyBorder="1" applyAlignment="1" applyProtection="1">
      <alignment horizontal="center" vertical="top" wrapText="1"/>
      <protection locked="0" hidden="1"/>
    </xf>
    <xf numFmtId="1" fontId="34" fillId="0" borderId="32" xfId="0" applyNumberFormat="1" applyFont="1" applyBorder="1" applyAlignment="1" applyProtection="1">
      <alignment horizontal="center" vertical="top" wrapText="1"/>
      <protection locked="0" hidden="1"/>
    </xf>
    <xf numFmtId="8" fontId="34" fillId="0" borderId="32" xfId="0" applyNumberFormat="1" applyFont="1" applyBorder="1" applyAlignment="1" applyProtection="1">
      <alignment horizontal="right" vertical="top" wrapText="1"/>
      <protection locked="0" hidden="1"/>
    </xf>
    <xf numFmtId="0" fontId="34" fillId="0" borderId="32" xfId="0" applyFont="1" applyBorder="1" applyAlignment="1" applyProtection="1">
      <alignment horizontal="left" vertical="top" wrapText="1"/>
      <protection locked="0" hidden="1"/>
    </xf>
    <xf numFmtId="8" fontId="34" fillId="0" borderId="33" xfId="0" applyNumberFormat="1" applyFont="1" applyBorder="1" applyAlignment="1" applyProtection="1">
      <alignment horizontal="right" vertical="top" wrapText="1"/>
      <protection locked="0" hidden="1"/>
    </xf>
    <xf numFmtId="0" fontId="0" fillId="0" borderId="29" xfId="0" applyBorder="1" applyProtection="1">
      <protection locked="0" hidden="1"/>
    </xf>
    <xf numFmtId="0" fontId="0" fillId="0" borderId="0" xfId="0" applyBorder="1" applyProtection="1">
      <protection locked="0" hidden="1"/>
    </xf>
    <xf numFmtId="0" fontId="0" fillId="0" borderId="34" xfId="0" applyBorder="1" applyProtection="1">
      <protection locked="0" hidden="1"/>
    </xf>
    <xf numFmtId="4" fontId="29" fillId="0" borderId="0" xfId="0" applyNumberFormat="1" applyFont="1" applyFill="1" applyBorder="1" applyProtection="1">
      <protection locked="0" hidden="1"/>
    </xf>
    <xf numFmtId="0" fontId="0" fillId="0" borderId="35" xfId="0" applyBorder="1" applyProtection="1">
      <protection locked="0" hidden="1"/>
    </xf>
    <xf numFmtId="0" fontId="0" fillId="0" borderId="4" xfId="0" applyBorder="1" applyProtection="1">
      <protection locked="0" hidden="1"/>
    </xf>
    <xf numFmtId="0" fontId="0" fillId="0" borderId="36" xfId="0" applyBorder="1" applyProtection="1">
      <protection locked="0" hidden="1"/>
    </xf>
    <xf numFmtId="0" fontId="33" fillId="0" borderId="0" xfId="0" applyFont="1" applyFill="1" applyBorder="1" applyAlignment="1" applyProtection="1">
      <alignment horizontal="center" vertical="top" wrapText="1"/>
      <protection locked="0" hidden="1"/>
    </xf>
    <xf numFmtId="0" fontId="33" fillId="0" borderId="0" xfId="0" applyFont="1" applyFill="1" applyBorder="1" applyAlignment="1" applyProtection="1">
      <alignment vertical="top" wrapText="1"/>
      <protection locked="0" hidden="1"/>
    </xf>
    <xf numFmtId="4" fontId="25" fillId="0" borderId="0" xfId="0" applyNumberFormat="1" applyFont="1" applyFill="1" applyProtection="1">
      <protection locked="0" hidden="1"/>
    </xf>
    <xf numFmtId="49" fontId="34" fillId="0" borderId="0" xfId="0" applyNumberFormat="1" applyFont="1" applyFill="1" applyBorder="1" applyAlignment="1" applyProtection="1">
      <alignment vertical="center" wrapText="1"/>
      <protection locked="0" hidden="1"/>
    </xf>
    <xf numFmtId="0" fontId="34" fillId="0" borderId="0" xfId="0" applyFont="1" applyFill="1" applyBorder="1" applyAlignment="1" applyProtection="1">
      <alignment horizontal="center" vertical="top" wrapText="1"/>
      <protection locked="0" hidden="1"/>
    </xf>
    <xf numFmtId="169" fontId="34" fillId="0" borderId="0" xfId="0" applyNumberFormat="1" applyFont="1" applyFill="1" applyBorder="1" applyAlignment="1" applyProtection="1">
      <alignment horizontal="right" vertical="top" wrapText="1"/>
      <protection locked="0" hidden="1"/>
    </xf>
    <xf numFmtId="1" fontId="34" fillId="0" borderId="0" xfId="0" applyNumberFormat="1" applyFont="1" applyFill="1" applyBorder="1" applyAlignment="1" applyProtection="1">
      <alignment horizontal="center" vertical="top" wrapText="1"/>
      <protection locked="0" hidden="1"/>
    </xf>
    <xf numFmtId="8" fontId="34" fillId="0" borderId="0" xfId="0" applyNumberFormat="1" applyFont="1" applyFill="1" applyBorder="1" applyAlignment="1" applyProtection="1">
      <alignment horizontal="right" vertical="top" wrapText="1"/>
      <protection locked="0" hidden="1"/>
    </xf>
    <xf numFmtId="0" fontId="34" fillId="0" borderId="0" xfId="0" applyFont="1" applyFill="1" applyBorder="1" applyAlignment="1" applyProtection="1">
      <alignment horizontal="left" vertical="top" wrapText="1"/>
      <protection locked="0" hidden="1"/>
    </xf>
    <xf numFmtId="167" fontId="34" fillId="0" borderId="0" xfId="0" applyNumberFormat="1" applyFont="1" applyFill="1" applyBorder="1" applyAlignment="1" applyProtection="1">
      <alignment horizontal="center" vertical="top" wrapText="1"/>
      <protection locked="0" hidden="1"/>
    </xf>
    <xf numFmtId="4" fontId="25" fillId="6" borderId="29" xfId="0" applyNumberFormat="1" applyFont="1" applyFill="1" applyBorder="1" applyProtection="1">
      <protection locked="0" hidden="1"/>
    </xf>
    <xf numFmtId="4" fontId="25" fillId="6" borderId="0" xfId="0" applyNumberFormat="1" applyFont="1" applyFill="1" applyBorder="1" applyAlignment="1" applyProtection="1">
      <alignment horizontal="center"/>
      <protection locked="0" hidden="1"/>
    </xf>
    <xf numFmtId="4" fontId="28" fillId="6" borderId="0" xfId="0" applyNumberFormat="1" applyFont="1" applyFill="1" applyBorder="1" applyAlignment="1" applyProtection="1">
      <alignment horizontal="right"/>
      <protection locked="0" hidden="1"/>
    </xf>
    <xf numFmtId="4" fontId="28" fillId="6" borderId="0" xfId="0" applyNumberFormat="1" applyFont="1" applyFill="1" applyBorder="1" applyProtection="1">
      <protection locked="0" hidden="1"/>
    </xf>
    <xf numFmtId="4" fontId="28" fillId="6" borderId="34" xfId="0" applyNumberFormat="1" applyFont="1" applyFill="1" applyBorder="1" applyProtection="1">
      <protection locked="0" hidden="1"/>
    </xf>
    <xf numFmtId="4" fontId="28" fillId="6" borderId="29" xfId="0" applyNumberFormat="1" applyFont="1" applyFill="1" applyBorder="1" applyProtection="1">
      <protection locked="0" hidden="1"/>
    </xf>
    <xf numFmtId="4" fontId="28" fillId="6" borderId="0" xfId="0" applyNumberFormat="1" applyFont="1" applyFill="1" applyBorder="1" applyAlignment="1" applyProtection="1">
      <alignment horizontal="right" vertical="center"/>
      <protection locked="0" hidden="1"/>
    </xf>
    <xf numFmtId="4" fontId="25" fillId="6" borderId="34" xfId="0" applyNumberFormat="1" applyFont="1" applyFill="1" applyBorder="1" applyProtection="1">
      <protection locked="0" hidden="1"/>
    </xf>
    <xf numFmtId="1" fontId="28" fillId="6" borderId="0" xfId="0" applyNumberFormat="1" applyFont="1" applyFill="1" applyBorder="1" applyAlignment="1" applyProtection="1">
      <alignment vertical="center"/>
      <protection locked="0" hidden="1"/>
    </xf>
    <xf numFmtId="167" fontId="25" fillId="6" borderId="0" xfId="4" applyNumberFormat="1" applyFont="1" applyFill="1" applyBorder="1" applyAlignment="1" applyProtection="1">
      <alignment horizontal="right" vertical="center"/>
      <protection locked="0" hidden="1"/>
    </xf>
    <xf numFmtId="166" fontId="25" fillId="6" borderId="34" xfId="4" applyNumberFormat="1" applyFont="1" applyFill="1" applyBorder="1" applyAlignment="1" applyProtection="1">
      <alignment horizontal="right" vertical="center"/>
      <protection locked="0" hidden="1"/>
    </xf>
    <xf numFmtId="1" fontId="28" fillId="6" borderId="0" xfId="0" applyNumberFormat="1" applyFont="1" applyFill="1" applyBorder="1" applyAlignment="1" applyProtection="1">
      <alignment horizontal="right" vertical="center"/>
      <protection locked="0" hidden="1"/>
    </xf>
    <xf numFmtId="4" fontId="25" fillId="6" borderId="0" xfId="0" applyNumberFormat="1" applyFont="1" applyFill="1" applyBorder="1" applyAlignment="1" applyProtection="1">
      <alignment vertical="center"/>
      <protection locked="0" hidden="1"/>
    </xf>
    <xf numFmtId="166" fontId="25" fillId="6" borderId="0" xfId="4" applyNumberFormat="1" applyFont="1" applyFill="1" applyBorder="1" applyAlignment="1" applyProtection="1">
      <alignment horizontal="right" vertical="center"/>
      <protection locked="0" hidden="1"/>
    </xf>
    <xf numFmtId="166" fontId="25" fillId="6" borderId="0" xfId="4" applyNumberFormat="1" applyFont="1" applyFill="1" applyBorder="1" applyAlignment="1" applyProtection="1">
      <alignment vertical="center"/>
      <protection locked="0" hidden="1"/>
    </xf>
    <xf numFmtId="166" fontId="25" fillId="6" borderId="34" xfId="4" applyNumberFormat="1" applyFont="1" applyFill="1" applyBorder="1" applyAlignment="1" applyProtection="1">
      <alignment vertical="center"/>
      <protection locked="0" hidden="1"/>
    </xf>
    <xf numFmtId="3" fontId="30" fillId="6" borderId="0" xfId="0" applyNumberFormat="1" applyFont="1" applyFill="1" applyBorder="1" applyAlignment="1" applyProtection="1">
      <alignment vertical="center"/>
      <protection locked="0" hidden="1"/>
    </xf>
    <xf numFmtId="170" fontId="31" fillId="6" borderId="0" xfId="4" applyNumberFormat="1" applyFont="1" applyFill="1" applyBorder="1" applyAlignment="1" applyProtection="1">
      <alignment vertical="center"/>
      <protection locked="0" hidden="1"/>
    </xf>
    <xf numFmtId="170" fontId="29" fillId="6" borderId="34" xfId="0" applyNumberFormat="1" applyFont="1" applyFill="1" applyBorder="1" applyAlignment="1" applyProtection="1">
      <protection locked="0" hidden="1"/>
    </xf>
    <xf numFmtId="1" fontId="32" fillId="6" borderId="0" xfId="0" applyNumberFormat="1" applyFont="1" applyFill="1" applyBorder="1" applyAlignment="1" applyProtection="1">
      <alignment horizontal="right" vertical="center"/>
      <protection locked="0" hidden="1"/>
    </xf>
    <xf numFmtId="167" fontId="32" fillId="6" borderId="0" xfId="4" applyNumberFormat="1" applyFont="1" applyFill="1" applyBorder="1" applyAlignment="1" applyProtection="1">
      <alignment vertical="center"/>
      <protection locked="0" hidden="1"/>
    </xf>
    <xf numFmtId="4" fontId="25" fillId="6" borderId="35" xfId="0" applyNumberFormat="1" applyFont="1" applyFill="1" applyBorder="1" applyProtection="1">
      <protection locked="0" hidden="1"/>
    </xf>
    <xf numFmtId="1" fontId="25" fillId="6" borderId="4" xfId="0" applyNumberFormat="1" applyFont="1" applyFill="1" applyBorder="1" applyProtection="1">
      <protection locked="0" hidden="1"/>
    </xf>
    <xf numFmtId="4" fontId="25" fillId="6" borderId="4" xfId="0" applyNumberFormat="1" applyFont="1" applyFill="1" applyBorder="1" applyProtection="1">
      <protection locked="0" hidden="1"/>
    </xf>
    <xf numFmtId="4" fontId="25" fillId="6" borderId="36" xfId="0" applyNumberFormat="1" applyFont="1" applyFill="1" applyBorder="1" applyProtection="1">
      <protection locked="0" hidden="1"/>
    </xf>
    <xf numFmtId="4" fontId="25" fillId="5" borderId="29" xfId="0" applyNumberFormat="1" applyFont="1" applyFill="1" applyBorder="1" applyProtection="1">
      <protection locked="0" hidden="1"/>
    </xf>
    <xf numFmtId="4" fontId="25" fillId="5" borderId="0" xfId="0" applyNumberFormat="1" applyFont="1" applyFill="1" applyBorder="1" applyAlignment="1" applyProtection="1">
      <alignment horizontal="center"/>
      <protection locked="0" hidden="1"/>
    </xf>
    <xf numFmtId="4" fontId="28" fillId="5" borderId="0" xfId="0" applyNumberFormat="1" applyFont="1" applyFill="1" applyBorder="1" applyAlignment="1" applyProtection="1">
      <alignment horizontal="right"/>
      <protection locked="0" hidden="1"/>
    </xf>
    <xf numFmtId="4" fontId="28" fillId="5" borderId="0" xfId="0" applyNumberFormat="1" applyFont="1" applyFill="1" applyBorder="1" applyProtection="1">
      <protection locked="0" hidden="1"/>
    </xf>
    <xf numFmtId="4" fontId="28" fillId="5" borderId="34" xfId="0" applyNumberFormat="1" applyFont="1" applyFill="1" applyBorder="1" applyProtection="1">
      <protection locked="0" hidden="1"/>
    </xf>
    <xf numFmtId="4" fontId="28" fillId="5" borderId="29" xfId="0" applyNumberFormat="1" applyFont="1" applyFill="1" applyBorder="1" applyProtection="1">
      <protection locked="0" hidden="1"/>
    </xf>
    <xf numFmtId="4" fontId="28" fillId="5" borderId="0" xfId="0" applyNumberFormat="1" applyFont="1" applyFill="1" applyBorder="1" applyAlignment="1" applyProtection="1">
      <alignment horizontal="right" vertical="center"/>
      <protection locked="0" hidden="1"/>
    </xf>
    <xf numFmtId="4" fontId="25" fillId="5" borderId="34" xfId="0" applyNumberFormat="1" applyFont="1" applyFill="1" applyBorder="1" applyProtection="1">
      <protection locked="0" hidden="1"/>
    </xf>
    <xf numFmtId="1" fontId="28" fillId="5" borderId="0" xfId="0" applyNumberFormat="1" applyFont="1" applyFill="1" applyBorder="1" applyAlignment="1" applyProtection="1">
      <alignment vertical="center"/>
      <protection locked="0" hidden="1"/>
    </xf>
    <xf numFmtId="167" fontId="25" fillId="5" borderId="0" xfId="4" applyNumberFormat="1" applyFont="1" applyFill="1" applyBorder="1" applyAlignment="1" applyProtection="1">
      <alignment horizontal="right" vertical="center"/>
      <protection locked="0" hidden="1"/>
    </xf>
    <xf numFmtId="4" fontId="25" fillId="5" borderId="0" xfId="0" applyNumberFormat="1" applyFont="1" applyFill="1" applyBorder="1" applyAlignment="1" applyProtection="1">
      <alignment vertical="center"/>
      <protection locked="0" hidden="1"/>
    </xf>
    <xf numFmtId="166" fontId="25" fillId="5" borderId="0" xfId="4" applyNumberFormat="1" applyFont="1" applyFill="1" applyBorder="1" applyAlignment="1" applyProtection="1">
      <alignment horizontal="right" vertical="center"/>
      <protection locked="0" hidden="1"/>
    </xf>
    <xf numFmtId="166" fontId="25" fillId="5" borderId="0" xfId="4" applyNumberFormat="1" applyFont="1" applyFill="1" applyBorder="1" applyAlignment="1" applyProtection="1">
      <alignment vertical="center"/>
      <protection locked="0" hidden="1"/>
    </xf>
    <xf numFmtId="3" fontId="30" fillId="5" borderId="0" xfId="0" applyNumberFormat="1" applyFont="1" applyFill="1" applyBorder="1" applyAlignment="1" applyProtection="1">
      <alignment vertical="center"/>
      <protection locked="0" hidden="1"/>
    </xf>
    <xf numFmtId="170" fontId="31" fillId="5" borderId="0" xfId="4" applyNumberFormat="1" applyFont="1" applyFill="1" applyBorder="1" applyAlignment="1" applyProtection="1">
      <alignment vertical="center"/>
      <protection locked="0" hidden="1"/>
    </xf>
    <xf numFmtId="1" fontId="32" fillId="5" borderId="0" xfId="0" applyNumberFormat="1" applyFont="1" applyFill="1" applyBorder="1" applyAlignment="1" applyProtection="1">
      <alignment horizontal="right" vertical="center"/>
      <protection locked="0" hidden="1"/>
    </xf>
    <xf numFmtId="4" fontId="25" fillId="5" borderId="36" xfId="0" applyNumberFormat="1" applyFont="1" applyFill="1" applyBorder="1" applyProtection="1">
      <protection locked="0" hidden="1"/>
    </xf>
    <xf numFmtId="4" fontId="25" fillId="8" borderId="29" xfId="0" applyNumberFormat="1" applyFont="1" applyFill="1" applyBorder="1" applyProtection="1">
      <protection locked="0" hidden="1"/>
    </xf>
    <xf numFmtId="4" fontId="25" fillId="8" borderId="0" xfId="0" applyNumberFormat="1" applyFont="1" applyFill="1" applyBorder="1" applyAlignment="1" applyProtection="1">
      <alignment horizontal="center"/>
      <protection locked="0" hidden="1"/>
    </xf>
    <xf numFmtId="4" fontId="28" fillId="8" borderId="0" xfId="0" applyNumberFormat="1" applyFont="1" applyFill="1" applyBorder="1" applyAlignment="1" applyProtection="1">
      <alignment horizontal="right"/>
      <protection locked="0" hidden="1"/>
    </xf>
    <xf numFmtId="4" fontId="28" fillId="8" borderId="0" xfId="0" applyNumberFormat="1" applyFont="1" applyFill="1" applyBorder="1" applyProtection="1">
      <protection locked="0" hidden="1"/>
    </xf>
    <xf numFmtId="4" fontId="28" fillId="8" borderId="34" xfId="0" applyNumberFormat="1" applyFont="1" applyFill="1" applyBorder="1" applyProtection="1">
      <protection locked="0" hidden="1"/>
    </xf>
    <xf numFmtId="4" fontId="28" fillId="8" borderId="29" xfId="0" applyNumberFormat="1" applyFont="1" applyFill="1" applyBorder="1" applyProtection="1">
      <protection locked="0" hidden="1"/>
    </xf>
    <xf numFmtId="4" fontId="28" fillId="8" borderId="0" xfId="0" applyNumberFormat="1" applyFont="1" applyFill="1" applyBorder="1" applyAlignment="1" applyProtection="1">
      <alignment horizontal="right" vertical="center"/>
      <protection locked="0" hidden="1"/>
    </xf>
    <xf numFmtId="4" fontId="25" fillId="8" borderId="34" xfId="0" applyNumberFormat="1" applyFont="1" applyFill="1" applyBorder="1" applyProtection="1">
      <protection locked="0" hidden="1"/>
    </xf>
    <xf numFmtId="1" fontId="28" fillId="8" borderId="0" xfId="0" applyNumberFormat="1" applyFont="1" applyFill="1" applyBorder="1" applyAlignment="1" applyProtection="1">
      <alignment vertical="center"/>
      <protection locked="0" hidden="1"/>
    </xf>
    <xf numFmtId="167" fontId="25" fillId="8" borderId="0" xfId="4" applyNumberFormat="1" applyFont="1" applyFill="1" applyBorder="1" applyAlignment="1" applyProtection="1">
      <alignment horizontal="right" vertical="center"/>
      <protection locked="0" hidden="1"/>
    </xf>
    <xf numFmtId="1" fontId="28" fillId="8" borderId="0" xfId="0" applyNumberFormat="1" applyFont="1" applyFill="1" applyBorder="1" applyAlignment="1" applyProtection="1">
      <alignment horizontal="right" vertical="center"/>
      <protection locked="0" hidden="1"/>
    </xf>
    <xf numFmtId="4" fontId="25" fillId="8" borderId="0" xfId="0" applyNumberFormat="1" applyFont="1" applyFill="1" applyBorder="1" applyAlignment="1" applyProtection="1">
      <alignment vertical="center"/>
      <protection locked="0" hidden="1"/>
    </xf>
    <xf numFmtId="166" fontId="25" fillId="8" borderId="0" xfId="4" applyNumberFormat="1" applyFont="1" applyFill="1" applyBorder="1" applyAlignment="1" applyProtection="1">
      <alignment horizontal="right" vertical="center"/>
      <protection locked="0" hidden="1"/>
    </xf>
    <xf numFmtId="166" fontId="25" fillId="8" borderId="0" xfId="4" applyNumberFormat="1" applyFont="1" applyFill="1" applyBorder="1" applyAlignment="1" applyProtection="1">
      <alignment vertical="center"/>
      <protection locked="0" hidden="1"/>
    </xf>
    <xf numFmtId="166" fontId="25" fillId="8" borderId="34" xfId="4" applyNumberFormat="1" applyFont="1" applyFill="1" applyBorder="1" applyAlignment="1" applyProtection="1">
      <alignment vertical="center"/>
      <protection locked="0" hidden="1"/>
    </xf>
    <xf numFmtId="3" fontId="30" fillId="8" borderId="0" xfId="0" applyNumberFormat="1" applyFont="1" applyFill="1" applyBorder="1" applyAlignment="1" applyProtection="1">
      <alignment vertical="center"/>
      <protection locked="0" hidden="1"/>
    </xf>
    <xf numFmtId="170" fontId="31" fillId="8" borderId="0" xfId="4" applyNumberFormat="1" applyFont="1" applyFill="1" applyBorder="1" applyAlignment="1" applyProtection="1">
      <alignment vertical="center"/>
      <protection locked="0" hidden="1"/>
    </xf>
    <xf numFmtId="170" fontId="31" fillId="8" borderId="34" xfId="4" applyNumberFormat="1" applyFont="1" applyFill="1" applyBorder="1" applyAlignment="1" applyProtection="1">
      <alignment vertical="center"/>
      <protection locked="0" hidden="1"/>
    </xf>
    <xf numFmtId="1" fontId="32" fillId="8" borderId="0" xfId="0" applyNumberFormat="1" applyFont="1" applyFill="1" applyBorder="1" applyAlignment="1" applyProtection="1">
      <alignment horizontal="right" vertical="center"/>
      <protection locked="0" hidden="1"/>
    </xf>
    <xf numFmtId="167" fontId="32" fillId="8" borderId="0" xfId="4" applyNumberFormat="1" applyFont="1" applyFill="1" applyBorder="1" applyAlignment="1" applyProtection="1">
      <alignment vertical="center"/>
      <protection locked="0" hidden="1"/>
    </xf>
    <xf numFmtId="4" fontId="25" fillId="8" borderId="35" xfId="0" applyNumberFormat="1" applyFont="1" applyFill="1" applyBorder="1" applyProtection="1">
      <protection locked="0" hidden="1"/>
    </xf>
    <xf numFmtId="1" fontId="25" fillId="8" borderId="4" xfId="0" applyNumberFormat="1" applyFont="1" applyFill="1" applyBorder="1" applyProtection="1">
      <protection locked="0" hidden="1"/>
    </xf>
    <xf numFmtId="4" fontId="25" fillId="8" borderId="4" xfId="0" applyNumberFormat="1" applyFont="1" applyFill="1" applyBorder="1" applyProtection="1">
      <protection locked="0" hidden="1"/>
    </xf>
    <xf numFmtId="4" fontId="25" fillId="8" borderId="36" xfId="0" applyNumberFormat="1" applyFont="1" applyFill="1" applyBorder="1" applyProtection="1">
      <protection locked="0" hidden="1"/>
    </xf>
    <xf numFmtId="4" fontId="25" fillId="9" borderId="35" xfId="0" applyNumberFormat="1" applyFont="1" applyFill="1" applyBorder="1" applyProtection="1">
      <protection locked="0" hidden="1"/>
    </xf>
    <xf numFmtId="1" fontId="25" fillId="9" borderId="4" xfId="0" applyNumberFormat="1" applyFont="1" applyFill="1" applyBorder="1" applyProtection="1">
      <protection locked="0" hidden="1"/>
    </xf>
    <xf numFmtId="4" fontId="25" fillId="9" borderId="4" xfId="0" applyNumberFormat="1" applyFont="1" applyFill="1" applyBorder="1" applyProtection="1">
      <protection locked="0" hidden="1"/>
    </xf>
    <xf numFmtId="4" fontId="25" fillId="9" borderId="36" xfId="0" applyNumberFormat="1" applyFont="1" applyFill="1" applyBorder="1" applyProtection="1">
      <protection locked="0" hidden="1"/>
    </xf>
    <xf numFmtId="4" fontId="25" fillId="10" borderId="35" xfId="0" applyNumberFormat="1" applyFont="1" applyFill="1" applyBorder="1" applyProtection="1">
      <protection locked="0" hidden="1"/>
    </xf>
    <xf numFmtId="1" fontId="25" fillId="10" borderId="4" xfId="0" applyNumberFormat="1" applyFont="1" applyFill="1" applyBorder="1" applyProtection="1">
      <protection locked="0" hidden="1"/>
    </xf>
    <xf numFmtId="4" fontId="25" fillId="10" borderId="4" xfId="0" applyNumberFormat="1" applyFont="1" applyFill="1" applyBorder="1" applyProtection="1">
      <protection locked="0" hidden="1"/>
    </xf>
    <xf numFmtId="4" fontId="25" fillId="10" borderId="36" xfId="0" applyNumberFormat="1" applyFont="1" applyFill="1" applyBorder="1" applyProtection="1">
      <protection locked="0" hidden="1"/>
    </xf>
    <xf numFmtId="0" fontId="0" fillId="0" borderId="0" xfId="0" applyBorder="1" applyAlignment="1" applyProtection="1">
      <alignment horizontal="center"/>
      <protection locked="0" hidden="1"/>
    </xf>
    <xf numFmtId="4" fontId="25" fillId="0" borderId="0" xfId="0" applyNumberFormat="1" applyFont="1" applyFill="1" applyBorder="1" applyAlignment="1" applyProtection="1">
      <alignment horizontal="center"/>
      <protection locked="0" hidden="1"/>
    </xf>
    <xf numFmtId="0" fontId="0" fillId="0" borderId="4" xfId="0" applyBorder="1" applyAlignment="1" applyProtection="1">
      <alignment horizontal="center"/>
      <protection locked="0" hidden="1"/>
    </xf>
    <xf numFmtId="0" fontId="0" fillId="0" borderId="0" xfId="0" applyFill="1" applyBorder="1" applyAlignment="1" applyProtection="1">
      <alignment horizontal="center"/>
      <protection locked="0" hidden="1"/>
    </xf>
    <xf numFmtId="166" fontId="25" fillId="5" borderId="34" xfId="4" applyNumberFormat="1" applyFont="1" applyFill="1" applyBorder="1" applyAlignment="1" applyProtection="1">
      <alignment horizontal="right" vertical="center"/>
      <protection locked="0" hidden="1"/>
    </xf>
    <xf numFmtId="166" fontId="25" fillId="5" borderId="34" xfId="4" applyNumberFormat="1" applyFont="1" applyFill="1" applyBorder="1" applyAlignment="1" applyProtection="1">
      <alignment vertical="center"/>
      <protection locked="0" hidden="1"/>
    </xf>
    <xf numFmtId="170" fontId="31" fillId="5" borderId="34" xfId="4" applyNumberFormat="1" applyFont="1" applyFill="1" applyBorder="1" applyAlignment="1" applyProtection="1">
      <alignment vertical="center"/>
      <protection locked="0" hidden="1"/>
    </xf>
    <xf numFmtId="167" fontId="32" fillId="5" borderId="0" xfId="4" applyNumberFormat="1" applyFont="1" applyFill="1" applyBorder="1" applyAlignment="1" applyProtection="1">
      <alignment vertical="center"/>
      <protection locked="0" hidden="1"/>
    </xf>
    <xf numFmtId="166" fontId="25" fillId="8" borderId="34" xfId="4" applyNumberFormat="1" applyFont="1" applyFill="1" applyBorder="1" applyAlignment="1" applyProtection="1">
      <alignment horizontal="right" vertical="center"/>
      <protection locked="0" hidden="1"/>
    </xf>
    <xf numFmtId="4" fontId="25" fillId="9" borderId="29" xfId="0" applyNumberFormat="1" applyFont="1" applyFill="1" applyBorder="1" applyProtection="1">
      <protection locked="0" hidden="1"/>
    </xf>
    <xf numFmtId="4" fontId="25" fillId="9" borderId="0" xfId="0" applyNumberFormat="1" applyFont="1" applyFill="1" applyBorder="1" applyAlignment="1" applyProtection="1">
      <alignment horizontal="center"/>
      <protection locked="0" hidden="1"/>
    </xf>
    <xf numFmtId="4" fontId="28" fillId="9" borderId="0" xfId="0" applyNumberFormat="1" applyFont="1" applyFill="1" applyBorder="1" applyAlignment="1" applyProtection="1">
      <alignment horizontal="right"/>
      <protection locked="0" hidden="1"/>
    </xf>
    <xf numFmtId="4" fontId="28" fillId="9" borderId="0" xfId="0" applyNumberFormat="1" applyFont="1" applyFill="1" applyBorder="1" applyProtection="1">
      <protection locked="0" hidden="1"/>
    </xf>
    <xf numFmtId="4" fontId="28" fillId="9" borderId="34" xfId="0" applyNumberFormat="1" applyFont="1" applyFill="1" applyBorder="1" applyProtection="1">
      <protection locked="0" hidden="1"/>
    </xf>
    <xf numFmtId="4" fontId="28" fillId="9" borderId="29" xfId="0" applyNumberFormat="1" applyFont="1" applyFill="1" applyBorder="1" applyProtection="1">
      <protection locked="0" hidden="1"/>
    </xf>
    <xf numFmtId="4" fontId="28" fillId="9" borderId="0" xfId="0" applyNumberFormat="1" applyFont="1" applyFill="1" applyBorder="1" applyAlignment="1" applyProtection="1">
      <alignment horizontal="right" vertical="center"/>
      <protection locked="0" hidden="1"/>
    </xf>
    <xf numFmtId="4" fontId="25" fillId="9" borderId="34" xfId="0" applyNumberFormat="1" applyFont="1" applyFill="1" applyBorder="1" applyProtection="1">
      <protection locked="0" hidden="1"/>
    </xf>
    <xf numFmtId="1" fontId="28" fillId="9" borderId="0" xfId="0" applyNumberFormat="1" applyFont="1" applyFill="1" applyBorder="1" applyAlignment="1" applyProtection="1">
      <alignment vertical="center"/>
      <protection locked="0" hidden="1"/>
    </xf>
    <xf numFmtId="167" fontId="25" fillId="9" borderId="0" xfId="4" applyNumberFormat="1" applyFont="1" applyFill="1" applyBorder="1" applyAlignment="1" applyProtection="1">
      <alignment horizontal="right" vertical="center"/>
      <protection locked="0" hidden="1"/>
    </xf>
    <xf numFmtId="166" fontId="25" fillId="9" borderId="34" xfId="4" applyNumberFormat="1" applyFont="1" applyFill="1" applyBorder="1" applyAlignment="1" applyProtection="1">
      <alignment horizontal="right" vertical="center"/>
      <protection locked="0" hidden="1"/>
    </xf>
    <xf numFmtId="1" fontId="28" fillId="9" borderId="0" xfId="0" applyNumberFormat="1" applyFont="1" applyFill="1" applyBorder="1" applyAlignment="1" applyProtection="1">
      <alignment horizontal="right" vertical="center"/>
      <protection locked="0" hidden="1"/>
    </xf>
    <xf numFmtId="4" fontId="25" fillId="9" borderId="0" xfId="0" applyNumberFormat="1" applyFont="1" applyFill="1" applyBorder="1" applyAlignment="1" applyProtection="1">
      <alignment vertical="center"/>
      <protection locked="0" hidden="1"/>
    </xf>
    <xf numFmtId="166" fontId="25" fillId="9" borderId="0" xfId="4" applyNumberFormat="1" applyFont="1" applyFill="1" applyBorder="1" applyAlignment="1" applyProtection="1">
      <alignment horizontal="right" vertical="center"/>
      <protection locked="0" hidden="1"/>
    </xf>
    <xf numFmtId="166" fontId="25" fillId="9" borderId="0" xfId="4" applyNumberFormat="1" applyFont="1" applyFill="1" applyBorder="1" applyAlignment="1" applyProtection="1">
      <alignment vertical="center"/>
      <protection locked="0" hidden="1"/>
    </xf>
    <xf numFmtId="166" fontId="25" fillId="9" borderId="34" xfId="4" applyNumberFormat="1" applyFont="1" applyFill="1" applyBorder="1" applyAlignment="1" applyProtection="1">
      <alignment vertical="center"/>
      <protection locked="0" hidden="1"/>
    </xf>
    <xf numFmtId="3" fontId="30" fillId="9" borderId="0" xfId="0" applyNumberFormat="1" applyFont="1" applyFill="1" applyBorder="1" applyAlignment="1" applyProtection="1">
      <alignment vertical="center"/>
      <protection locked="0" hidden="1"/>
    </xf>
    <xf numFmtId="170" fontId="31" fillId="9" borderId="0" xfId="4" applyNumberFormat="1" applyFont="1" applyFill="1" applyBorder="1" applyAlignment="1" applyProtection="1">
      <alignment vertical="center"/>
      <protection locked="0" hidden="1"/>
    </xf>
    <xf numFmtId="170" fontId="31" fillId="9" borderId="34" xfId="4" applyNumberFormat="1" applyFont="1" applyFill="1" applyBorder="1" applyAlignment="1" applyProtection="1">
      <alignment vertical="center"/>
      <protection locked="0" hidden="1"/>
    </xf>
    <xf numFmtId="1" fontId="32" fillId="9" borderId="0" xfId="0" applyNumberFormat="1" applyFont="1" applyFill="1" applyBorder="1" applyAlignment="1" applyProtection="1">
      <alignment horizontal="right" vertical="center"/>
      <protection locked="0" hidden="1"/>
    </xf>
    <xf numFmtId="167" fontId="32" fillId="9" borderId="0" xfId="4" applyNumberFormat="1" applyFont="1" applyFill="1" applyBorder="1" applyAlignment="1" applyProtection="1">
      <alignment vertical="center"/>
      <protection locked="0" hidden="1"/>
    </xf>
    <xf numFmtId="4" fontId="25" fillId="10" borderId="29" xfId="0" applyNumberFormat="1" applyFont="1" applyFill="1" applyBorder="1" applyProtection="1">
      <protection locked="0" hidden="1"/>
    </xf>
    <xf numFmtId="4" fontId="25" fillId="10" borderId="0" xfId="0" applyNumberFormat="1" applyFont="1" applyFill="1" applyBorder="1" applyAlignment="1" applyProtection="1">
      <alignment horizontal="center"/>
      <protection locked="0" hidden="1"/>
    </xf>
    <xf numFmtId="4" fontId="28" fillId="10" borderId="0" xfId="0" applyNumberFormat="1" applyFont="1" applyFill="1" applyBorder="1" applyAlignment="1" applyProtection="1">
      <alignment horizontal="right"/>
      <protection locked="0" hidden="1"/>
    </xf>
    <xf numFmtId="4" fontId="28" fillId="10" borderId="0" xfId="0" applyNumberFormat="1" applyFont="1" applyFill="1" applyBorder="1" applyProtection="1">
      <protection locked="0" hidden="1"/>
    </xf>
    <xf numFmtId="4" fontId="28" fillId="10" borderId="34" xfId="0" applyNumberFormat="1" applyFont="1" applyFill="1" applyBorder="1" applyProtection="1">
      <protection locked="0" hidden="1"/>
    </xf>
    <xf numFmtId="4" fontId="28" fillId="10" borderId="29" xfId="0" applyNumberFormat="1" applyFont="1" applyFill="1" applyBorder="1" applyProtection="1">
      <protection locked="0" hidden="1"/>
    </xf>
    <xf numFmtId="4" fontId="28" fillId="10" borderId="0" xfId="0" applyNumberFormat="1" applyFont="1" applyFill="1" applyBorder="1" applyAlignment="1" applyProtection="1">
      <alignment horizontal="right" vertical="center"/>
      <protection locked="0" hidden="1"/>
    </xf>
    <xf numFmtId="4" fontId="25" fillId="10" borderId="34" xfId="0" applyNumberFormat="1" applyFont="1" applyFill="1" applyBorder="1" applyProtection="1">
      <protection locked="0" hidden="1"/>
    </xf>
    <xf numFmtId="1" fontId="28" fillId="10" borderId="0" xfId="0" applyNumberFormat="1" applyFont="1" applyFill="1" applyBorder="1" applyAlignment="1" applyProtection="1">
      <alignment vertical="center"/>
      <protection locked="0" hidden="1"/>
    </xf>
    <xf numFmtId="167" fontId="25" fillId="10" borderId="0" xfId="4" applyNumberFormat="1" applyFont="1" applyFill="1" applyBorder="1" applyAlignment="1" applyProtection="1">
      <alignment horizontal="right" vertical="center"/>
      <protection locked="0" hidden="1"/>
    </xf>
    <xf numFmtId="166" fontId="25" fillId="10" borderId="34" xfId="4" applyNumberFormat="1" applyFont="1" applyFill="1" applyBorder="1" applyAlignment="1" applyProtection="1">
      <alignment horizontal="right" vertical="center"/>
      <protection locked="0" hidden="1"/>
    </xf>
    <xf numFmtId="4" fontId="25" fillId="10" borderId="0" xfId="0" applyNumberFormat="1" applyFont="1" applyFill="1" applyBorder="1" applyAlignment="1" applyProtection="1">
      <alignment vertical="center"/>
      <protection locked="0" hidden="1"/>
    </xf>
    <xf numFmtId="166" fontId="25" fillId="10" borderId="0" xfId="4" applyNumberFormat="1" applyFont="1" applyFill="1" applyBorder="1" applyAlignment="1" applyProtection="1">
      <alignment horizontal="right" vertical="center"/>
      <protection locked="0" hidden="1"/>
    </xf>
    <xf numFmtId="166" fontId="25" fillId="10" borderId="0" xfId="4" applyNumberFormat="1" applyFont="1" applyFill="1" applyBorder="1" applyAlignment="1" applyProtection="1">
      <alignment vertical="center"/>
      <protection locked="0" hidden="1"/>
    </xf>
    <xf numFmtId="166" fontId="25" fillId="10" borderId="34" xfId="4" applyNumberFormat="1" applyFont="1" applyFill="1" applyBorder="1" applyAlignment="1" applyProtection="1">
      <alignment vertical="center"/>
      <protection locked="0" hidden="1"/>
    </xf>
    <xf numFmtId="3" fontId="30" fillId="10" borderId="0" xfId="0" applyNumberFormat="1" applyFont="1" applyFill="1" applyBorder="1" applyAlignment="1" applyProtection="1">
      <alignment vertical="center"/>
      <protection locked="0" hidden="1"/>
    </xf>
    <xf numFmtId="170" fontId="31" fillId="10" borderId="0" xfId="4" applyNumberFormat="1" applyFont="1" applyFill="1" applyBorder="1" applyAlignment="1" applyProtection="1">
      <alignment vertical="center"/>
      <protection locked="0" hidden="1"/>
    </xf>
    <xf numFmtId="170" fontId="31" fillId="10" borderId="34" xfId="4" applyNumberFormat="1" applyFont="1" applyFill="1" applyBorder="1" applyAlignment="1" applyProtection="1">
      <alignment vertical="center"/>
      <protection locked="0" hidden="1"/>
    </xf>
    <xf numFmtId="1" fontId="32" fillId="10" borderId="0" xfId="0" applyNumberFormat="1" applyFont="1" applyFill="1" applyBorder="1" applyAlignment="1" applyProtection="1">
      <alignment horizontal="right" vertical="center"/>
      <protection locked="0" hidden="1"/>
    </xf>
    <xf numFmtId="167" fontId="32" fillId="10" borderId="0" xfId="4" applyNumberFormat="1" applyFont="1" applyFill="1" applyBorder="1" applyAlignment="1" applyProtection="1">
      <alignment vertical="center"/>
      <protection locked="0" hidden="1"/>
    </xf>
    <xf numFmtId="0" fontId="36" fillId="0" borderId="0" xfId="0" applyFont="1" applyFill="1" applyBorder="1" applyAlignment="1" applyProtection="1">
      <alignment horizontal="left" vertical="top"/>
      <protection locked="0" hidden="1"/>
    </xf>
    <xf numFmtId="172" fontId="34" fillId="0" borderId="32" xfId="0" applyNumberFormat="1" applyFont="1" applyBorder="1" applyAlignment="1" applyProtection="1">
      <alignment horizontal="right" vertical="top" wrapText="1"/>
      <protection locked="0" hidden="1"/>
    </xf>
    <xf numFmtId="172" fontId="0" fillId="0" borderId="0" xfId="0" applyNumberFormat="1" applyBorder="1" applyProtection="1">
      <protection locked="0" hidden="1"/>
    </xf>
    <xf numFmtId="172" fontId="0" fillId="0" borderId="4" xfId="0" applyNumberFormat="1" applyBorder="1" applyProtection="1">
      <protection locked="0" hidden="1"/>
    </xf>
    <xf numFmtId="4" fontId="28" fillId="5" borderId="35" xfId="0" applyNumberFormat="1" applyFont="1" applyFill="1" applyBorder="1" applyProtection="1">
      <protection locked="0" hidden="1"/>
    </xf>
    <xf numFmtId="1" fontId="32" fillId="5" borderId="4" xfId="0" applyNumberFormat="1" applyFont="1" applyFill="1" applyBorder="1" applyAlignment="1" applyProtection="1">
      <alignment horizontal="right" vertical="center"/>
      <protection locked="0" hidden="1"/>
    </xf>
    <xf numFmtId="167" fontId="32" fillId="5" borderId="4" xfId="4" applyNumberFormat="1" applyFont="1" applyFill="1" applyBorder="1" applyAlignment="1" applyProtection="1">
      <alignment vertical="center"/>
      <protection locked="0" hidden="1"/>
    </xf>
    <xf numFmtId="4" fontId="25" fillId="3" borderId="29" xfId="0" applyNumberFormat="1" applyFont="1" applyFill="1" applyBorder="1" applyProtection="1">
      <protection locked="0" hidden="1"/>
    </xf>
    <xf numFmtId="4" fontId="25" fillId="3" borderId="0" xfId="0" applyNumberFormat="1" applyFont="1" applyFill="1" applyBorder="1" applyAlignment="1" applyProtection="1">
      <alignment horizontal="center"/>
      <protection locked="0" hidden="1"/>
    </xf>
    <xf numFmtId="4" fontId="28" fillId="3" borderId="0" xfId="0" applyNumberFormat="1" applyFont="1" applyFill="1" applyBorder="1" applyAlignment="1" applyProtection="1">
      <alignment horizontal="right"/>
      <protection locked="0" hidden="1"/>
    </xf>
    <xf numFmtId="4" fontId="28" fillId="3" borderId="0" xfId="0" applyNumberFormat="1" applyFont="1" applyFill="1" applyBorder="1" applyProtection="1">
      <protection locked="0" hidden="1"/>
    </xf>
    <xf numFmtId="4" fontId="28" fillId="3" borderId="34" xfId="0" applyNumberFormat="1" applyFont="1" applyFill="1" applyBorder="1" applyProtection="1">
      <protection locked="0" hidden="1"/>
    </xf>
    <xf numFmtId="4" fontId="28" fillId="3" borderId="29" xfId="0" applyNumberFormat="1" applyFont="1" applyFill="1" applyBorder="1" applyProtection="1">
      <protection locked="0" hidden="1"/>
    </xf>
    <xf numFmtId="4" fontId="28" fillId="3" borderId="0" xfId="0" applyNumberFormat="1" applyFont="1" applyFill="1" applyBorder="1" applyAlignment="1" applyProtection="1">
      <alignment horizontal="right" vertical="center"/>
      <protection locked="0" hidden="1"/>
    </xf>
    <xf numFmtId="4" fontId="25" fillId="3" borderId="34" xfId="0" applyNumberFormat="1" applyFont="1" applyFill="1" applyBorder="1" applyProtection="1">
      <protection locked="0" hidden="1"/>
    </xf>
    <xf numFmtId="1" fontId="28" fillId="3" borderId="0" xfId="0" applyNumberFormat="1" applyFont="1" applyFill="1" applyBorder="1" applyAlignment="1" applyProtection="1">
      <alignment vertical="center"/>
      <protection locked="0" hidden="1"/>
    </xf>
    <xf numFmtId="167" fontId="25" fillId="3" borderId="0" xfId="4" applyNumberFormat="1" applyFont="1" applyFill="1" applyBorder="1" applyAlignment="1" applyProtection="1">
      <alignment horizontal="right" vertical="center"/>
      <protection locked="0" hidden="1"/>
    </xf>
    <xf numFmtId="167" fontId="25" fillId="3" borderId="0" xfId="4" applyNumberFormat="1" applyFont="1" applyFill="1" applyBorder="1" applyAlignment="1" applyProtection="1">
      <alignment vertical="center"/>
      <protection locked="0" hidden="1"/>
    </xf>
    <xf numFmtId="166" fontId="25" fillId="3" borderId="34" xfId="4" applyNumberFormat="1" applyFont="1" applyFill="1" applyBorder="1" applyAlignment="1" applyProtection="1">
      <alignment horizontal="right" vertical="center"/>
      <protection locked="0" hidden="1"/>
    </xf>
    <xf numFmtId="1" fontId="28" fillId="3" borderId="0" xfId="0" applyNumberFormat="1" applyFont="1" applyFill="1" applyBorder="1" applyAlignment="1" applyProtection="1">
      <alignment horizontal="right" vertical="center"/>
      <protection locked="0" hidden="1"/>
    </xf>
    <xf numFmtId="4" fontId="25" fillId="3" borderId="0" xfId="0" applyNumberFormat="1" applyFont="1" applyFill="1" applyBorder="1" applyAlignment="1" applyProtection="1">
      <alignment vertical="center"/>
      <protection locked="0" hidden="1"/>
    </xf>
    <xf numFmtId="166" fontId="25" fillId="3" borderId="0" xfId="4" applyNumberFormat="1" applyFont="1" applyFill="1" applyBorder="1" applyAlignment="1" applyProtection="1">
      <alignment horizontal="right" vertical="center"/>
      <protection locked="0" hidden="1"/>
    </xf>
    <xf numFmtId="166" fontId="25" fillId="3" borderId="0" xfId="4" applyNumberFormat="1" applyFont="1" applyFill="1" applyBorder="1" applyAlignment="1" applyProtection="1">
      <alignment vertical="center"/>
      <protection locked="0" hidden="1"/>
    </xf>
    <xf numFmtId="166" fontId="25" fillId="3" borderId="34" xfId="4" applyNumberFormat="1" applyFont="1" applyFill="1" applyBorder="1" applyAlignment="1" applyProtection="1">
      <alignment vertical="center"/>
      <protection locked="0" hidden="1"/>
    </xf>
    <xf numFmtId="3" fontId="30" fillId="3" borderId="0" xfId="0" applyNumberFormat="1" applyFont="1" applyFill="1" applyBorder="1" applyAlignment="1" applyProtection="1">
      <alignment vertical="center"/>
      <protection locked="0" hidden="1"/>
    </xf>
    <xf numFmtId="170" fontId="31" fillId="3" borderId="0" xfId="4" applyNumberFormat="1" applyFont="1" applyFill="1" applyBorder="1" applyAlignment="1" applyProtection="1">
      <alignment vertical="center"/>
      <protection locked="0" hidden="1"/>
    </xf>
    <xf numFmtId="170" fontId="29" fillId="3" borderId="34" xfId="0" applyNumberFormat="1" applyFont="1" applyFill="1" applyBorder="1" applyAlignment="1" applyProtection="1">
      <protection locked="0" hidden="1"/>
    </xf>
    <xf numFmtId="1" fontId="32" fillId="3" borderId="0" xfId="0" applyNumberFormat="1" applyFont="1" applyFill="1" applyBorder="1" applyAlignment="1" applyProtection="1">
      <alignment horizontal="right" vertical="center"/>
      <protection locked="0" hidden="1"/>
    </xf>
    <xf numFmtId="167" fontId="32" fillId="3" borderId="0" xfId="4" applyNumberFormat="1" applyFont="1" applyFill="1" applyBorder="1" applyAlignment="1" applyProtection="1">
      <alignment vertical="center"/>
      <protection locked="0" hidden="1"/>
    </xf>
    <xf numFmtId="4" fontId="25" fillId="3" borderId="35" xfId="0" applyNumberFormat="1" applyFont="1" applyFill="1" applyBorder="1" applyProtection="1">
      <protection locked="0" hidden="1"/>
    </xf>
    <xf numFmtId="1" fontId="25" fillId="3" borderId="4" xfId="0" applyNumberFormat="1" applyFont="1" applyFill="1" applyBorder="1" applyProtection="1">
      <protection locked="0" hidden="1"/>
    </xf>
    <xf numFmtId="4" fontId="25" fillId="3" borderId="4" xfId="0" applyNumberFormat="1" applyFont="1" applyFill="1" applyBorder="1" applyProtection="1">
      <protection locked="0" hidden="1"/>
    </xf>
    <xf numFmtId="4" fontId="25" fillId="3" borderId="36" xfId="0" applyNumberFormat="1" applyFont="1" applyFill="1" applyBorder="1" applyProtection="1">
      <protection locked="0" hidden="1"/>
    </xf>
    <xf numFmtId="0" fontId="0" fillId="0" borderId="0" xfId="0"/>
    <xf numFmtId="0" fontId="0" fillId="0" borderId="0" xfId="0"/>
    <xf numFmtId="0" fontId="6" fillId="0" borderId="0" xfId="6" applyFont="1" applyFill="1" applyBorder="1" applyAlignment="1" applyProtection="1">
      <alignment horizontal="center"/>
      <protection locked="0" hidden="1"/>
    </xf>
    <xf numFmtId="0" fontId="53" fillId="0" borderId="0" xfId="0" applyFont="1" applyFill="1" applyBorder="1"/>
    <xf numFmtId="0" fontId="17" fillId="0" borderId="0" xfId="0" applyFont="1" applyFill="1" applyBorder="1"/>
    <xf numFmtId="0" fontId="52" fillId="0" borderId="0" xfId="2" applyFont="1" applyAlignment="1" applyProtection="1">
      <alignment horizontal="left" vertical="center"/>
    </xf>
    <xf numFmtId="0" fontId="17" fillId="13" borderId="24" xfId="0" applyFont="1" applyFill="1" applyBorder="1" applyAlignment="1"/>
    <xf numFmtId="0" fontId="17" fillId="13" borderId="0" xfId="0" applyFont="1" applyFill="1" applyBorder="1" applyAlignment="1"/>
    <xf numFmtId="0" fontId="17" fillId="13" borderId="25" xfId="0" applyFont="1" applyFill="1" applyBorder="1" applyAlignment="1"/>
    <xf numFmtId="0" fontId="17" fillId="13" borderId="26" xfId="0" applyFont="1" applyFill="1" applyBorder="1" applyAlignment="1"/>
    <xf numFmtId="0" fontId="17" fillId="13" borderId="27" xfId="0" applyFont="1" applyFill="1" applyBorder="1" applyAlignment="1"/>
    <xf numFmtId="0" fontId="17" fillId="13" borderId="28" xfId="0" applyFont="1" applyFill="1" applyBorder="1" applyAlignment="1"/>
    <xf numFmtId="0" fontId="8" fillId="2" borderId="0" xfId="0" applyFont="1" applyFill="1" applyAlignment="1">
      <alignment horizontal="left"/>
    </xf>
    <xf numFmtId="0" fontId="0" fillId="3" borderId="29" xfId="0" applyFill="1" applyBorder="1" applyAlignment="1">
      <alignment horizontal="right" vertical="center"/>
    </xf>
    <xf numFmtId="0" fontId="0" fillId="3" borderId="30" xfId="0" applyFill="1" applyBorder="1" applyAlignment="1">
      <alignment horizontal="right" vertical="center"/>
    </xf>
    <xf numFmtId="0" fontId="0" fillId="4" borderId="29" xfId="0" applyFill="1" applyBorder="1" applyAlignment="1">
      <alignment horizontal="right" vertical="center"/>
    </xf>
    <xf numFmtId="0" fontId="0" fillId="4" borderId="30" xfId="0" applyFill="1" applyBorder="1" applyAlignment="1">
      <alignment horizontal="right" vertical="center"/>
    </xf>
    <xf numFmtId="0" fontId="0" fillId="5" borderId="29" xfId="0" applyFill="1" applyBorder="1" applyAlignment="1">
      <alignment horizontal="right" vertical="center"/>
    </xf>
    <xf numFmtId="0" fontId="0" fillId="5" borderId="30" xfId="0" applyFill="1" applyBorder="1" applyAlignment="1">
      <alignment horizontal="right" vertical="center"/>
    </xf>
    <xf numFmtId="0" fontId="0" fillId="0" borderId="0" xfId="0"/>
    <xf numFmtId="0" fontId="23" fillId="0" borderId="37" xfId="2" applyFont="1" applyBorder="1" applyAlignment="1" applyProtection="1">
      <alignment horizontal="center" vertical="top"/>
    </xf>
    <xf numFmtId="0" fontId="23" fillId="0" borderId="0" xfId="2" applyFont="1" applyBorder="1" applyAlignment="1" applyProtection="1">
      <alignment horizontal="center" vertical="top"/>
    </xf>
    <xf numFmtId="0" fontId="43" fillId="0" borderId="0" xfId="2" applyFont="1" applyFill="1" applyAlignment="1" applyProtection="1">
      <alignment horizontal="left"/>
    </xf>
    <xf numFmtId="0" fontId="17" fillId="13" borderId="21" xfId="0" applyFont="1" applyFill="1" applyBorder="1" applyAlignment="1"/>
    <xf numFmtId="0" fontId="17" fillId="13" borderId="22" xfId="0" applyFont="1" applyFill="1" applyBorder="1" applyAlignment="1"/>
    <xf numFmtId="0" fontId="17" fillId="13" borderId="23" xfId="0" applyFont="1" applyFill="1" applyBorder="1" applyAlignment="1"/>
    <xf numFmtId="0" fontId="23" fillId="0" borderId="0" xfId="2" applyFont="1" applyBorder="1" applyAlignment="1" applyProtection="1">
      <alignment horizontal="left" vertical="top"/>
    </xf>
    <xf numFmtId="0" fontId="15" fillId="0" borderId="0" xfId="2" applyFont="1" applyAlignment="1" applyProtection="1">
      <alignment horizontal="left" vertical="top"/>
    </xf>
    <xf numFmtId="0" fontId="10" fillId="0" borderId="0" xfId="0" applyFont="1" applyAlignment="1">
      <alignment horizontal="left"/>
    </xf>
    <xf numFmtId="0" fontId="20" fillId="0" borderId="0" xfId="2" applyFont="1" applyAlignment="1" applyProtection="1">
      <alignment horizontal="left"/>
    </xf>
    <xf numFmtId="0" fontId="22" fillId="0" borderId="0" xfId="2" applyFont="1" applyFill="1" applyAlignment="1" applyProtection="1">
      <alignment horizontal="left"/>
    </xf>
    <xf numFmtId="4" fontId="30" fillId="5" borderId="31" xfId="0" applyNumberFormat="1" applyFont="1" applyFill="1" applyBorder="1" applyAlignment="1" applyProtection="1">
      <alignment horizontal="center" vertical="center"/>
      <protection locked="0" hidden="1"/>
    </xf>
    <xf numFmtId="4" fontId="30" fillId="5" borderId="32" xfId="0" applyNumberFormat="1" applyFont="1" applyFill="1" applyBorder="1" applyAlignment="1" applyProtection="1">
      <alignment horizontal="center" vertical="center"/>
      <protection locked="0" hidden="1"/>
    </xf>
    <xf numFmtId="4" fontId="30" fillId="5" borderId="33" xfId="0" applyNumberFormat="1" applyFont="1" applyFill="1" applyBorder="1" applyAlignment="1" applyProtection="1">
      <alignment horizontal="center" vertical="center"/>
      <protection locked="0" hidden="1"/>
    </xf>
    <xf numFmtId="0" fontId="36" fillId="2" borderId="31" xfId="0" applyFont="1" applyFill="1" applyBorder="1" applyAlignment="1" applyProtection="1">
      <alignment horizontal="left" vertical="top"/>
      <protection locked="0" hidden="1"/>
    </xf>
    <xf numFmtId="0" fontId="36" fillId="2" borderId="32" xfId="0" applyFont="1" applyFill="1" applyBorder="1" applyAlignment="1" applyProtection="1">
      <alignment horizontal="left" vertical="top"/>
      <protection locked="0" hidden="1"/>
    </xf>
    <xf numFmtId="1" fontId="31" fillId="7" borderId="0" xfId="0" applyNumberFormat="1" applyFont="1" applyFill="1" applyBorder="1" applyAlignment="1" applyProtection="1">
      <alignment horizontal="right" vertical="center" wrapText="1"/>
      <protection locked="0" hidden="1"/>
    </xf>
    <xf numFmtId="0" fontId="3" fillId="7" borderId="0" xfId="0" applyFont="1" applyFill="1" applyBorder="1" applyAlignment="1" applyProtection="1">
      <alignment horizontal="right" vertical="center"/>
      <protection locked="0" hidden="1"/>
    </xf>
    <xf numFmtId="3" fontId="26" fillId="0" borderId="39" xfId="0" applyNumberFormat="1" applyFont="1" applyFill="1" applyBorder="1" applyAlignment="1" applyProtection="1">
      <alignment horizontal="center" vertical="center"/>
      <protection locked="0" hidden="1"/>
    </xf>
    <xf numFmtId="3" fontId="26" fillId="0" borderId="40" xfId="0" applyNumberFormat="1" applyFont="1" applyFill="1" applyBorder="1" applyAlignment="1" applyProtection="1">
      <alignment horizontal="center" vertical="center"/>
      <protection locked="0" hidden="1"/>
    </xf>
    <xf numFmtId="3" fontId="26" fillId="0" borderId="37" xfId="0" applyNumberFormat="1" applyFont="1" applyFill="1" applyBorder="1" applyAlignment="1" applyProtection="1">
      <alignment horizontal="center" vertical="center"/>
      <protection locked="0" hidden="1"/>
    </xf>
    <xf numFmtId="3" fontId="26" fillId="0" borderId="30" xfId="0" applyNumberFormat="1" applyFont="1" applyFill="1" applyBorder="1" applyAlignment="1" applyProtection="1">
      <alignment horizontal="center" vertical="center"/>
      <protection locked="0" hidden="1"/>
    </xf>
    <xf numFmtId="4" fontId="30" fillId="3" borderId="31" xfId="0" applyNumberFormat="1" applyFont="1" applyFill="1" applyBorder="1" applyAlignment="1" applyProtection="1">
      <alignment horizontal="center" vertical="center"/>
      <protection locked="0" hidden="1"/>
    </xf>
    <xf numFmtId="0" fontId="0" fillId="0" borderId="32" xfId="0" applyBorder="1" applyProtection="1">
      <protection locked="0" hidden="1"/>
    </xf>
    <xf numFmtId="0" fontId="0" fillId="0" borderId="33" xfId="0" applyBorder="1" applyProtection="1">
      <protection locked="0" hidden="1"/>
    </xf>
    <xf numFmtId="4" fontId="30" fillId="6" borderId="31" xfId="0" applyNumberFormat="1" applyFont="1" applyFill="1" applyBorder="1" applyAlignment="1" applyProtection="1">
      <alignment horizontal="center" vertical="center"/>
      <protection locked="0" hidden="1"/>
    </xf>
    <xf numFmtId="4" fontId="30" fillId="6" borderId="32" xfId="0" applyNumberFormat="1" applyFont="1" applyFill="1" applyBorder="1" applyAlignment="1" applyProtection="1">
      <alignment horizontal="center" vertical="center"/>
      <protection locked="0" hidden="1"/>
    </xf>
    <xf numFmtId="4" fontId="30" fillId="6" borderId="33" xfId="0" applyNumberFormat="1" applyFont="1" applyFill="1" applyBorder="1" applyAlignment="1" applyProtection="1">
      <alignment horizontal="center" vertical="center"/>
      <protection locked="0" hidden="1"/>
    </xf>
    <xf numFmtId="4" fontId="28" fillId="7" borderId="0" xfId="0" applyNumberFormat="1" applyFont="1" applyFill="1" applyBorder="1" applyAlignment="1" applyProtection="1">
      <alignment horizontal="left"/>
      <protection locked="0" hidden="1"/>
    </xf>
    <xf numFmtId="4" fontId="30" fillId="8" borderId="31" xfId="0" applyNumberFormat="1" applyFont="1" applyFill="1" applyBorder="1" applyAlignment="1" applyProtection="1">
      <alignment horizontal="center" vertical="center"/>
      <protection locked="0" hidden="1"/>
    </xf>
    <xf numFmtId="4" fontId="30" fillId="8" borderId="32" xfId="0" applyNumberFormat="1" applyFont="1" applyFill="1" applyBorder="1" applyAlignment="1" applyProtection="1">
      <alignment horizontal="center" vertical="center"/>
      <protection locked="0" hidden="1"/>
    </xf>
    <xf numFmtId="4" fontId="30" fillId="8" borderId="33" xfId="0" applyNumberFormat="1" applyFont="1" applyFill="1" applyBorder="1" applyAlignment="1" applyProtection="1">
      <alignment horizontal="center" vertical="center"/>
      <protection locked="0" hidden="1"/>
    </xf>
    <xf numFmtId="4" fontId="30" fillId="12" borderId="31" xfId="0" applyNumberFormat="1" applyFont="1" applyFill="1" applyBorder="1" applyAlignment="1" applyProtection="1">
      <alignment horizontal="center" vertical="center"/>
      <protection locked="0" hidden="1"/>
    </xf>
    <xf numFmtId="4" fontId="30" fillId="12" borderId="32" xfId="0" applyNumberFormat="1" applyFont="1" applyFill="1" applyBorder="1" applyAlignment="1" applyProtection="1">
      <alignment horizontal="center" vertical="center"/>
      <protection locked="0" hidden="1"/>
    </xf>
    <xf numFmtId="4" fontId="30" fillId="12" borderId="33" xfId="0" applyNumberFormat="1" applyFont="1" applyFill="1" applyBorder="1" applyAlignment="1" applyProtection="1">
      <alignment horizontal="center" vertical="center"/>
      <protection locked="0" hidden="1"/>
    </xf>
    <xf numFmtId="4" fontId="30" fillId="11" borderId="31" xfId="0" applyNumberFormat="1" applyFont="1" applyFill="1" applyBorder="1" applyAlignment="1" applyProtection="1">
      <alignment horizontal="center" vertical="center"/>
      <protection locked="0" hidden="1"/>
    </xf>
    <xf numFmtId="4" fontId="30" fillId="11" borderId="32" xfId="0" applyNumberFormat="1" applyFont="1" applyFill="1" applyBorder="1" applyAlignment="1" applyProtection="1">
      <alignment horizontal="center" vertical="center"/>
      <protection locked="0" hidden="1"/>
    </xf>
    <xf numFmtId="4" fontId="30" fillId="11" borderId="33" xfId="0" applyNumberFormat="1" applyFont="1" applyFill="1" applyBorder="1" applyAlignment="1" applyProtection="1">
      <alignment horizontal="center" vertical="center"/>
      <protection locked="0" hidden="1"/>
    </xf>
    <xf numFmtId="4" fontId="30" fillId="4" borderId="31" xfId="0" applyNumberFormat="1" applyFont="1" applyFill="1" applyBorder="1" applyAlignment="1" applyProtection="1">
      <alignment horizontal="center" vertical="center"/>
      <protection locked="0" hidden="1"/>
    </xf>
    <xf numFmtId="4" fontId="30" fillId="4" borderId="32" xfId="0" applyNumberFormat="1" applyFont="1" applyFill="1" applyBorder="1" applyAlignment="1" applyProtection="1">
      <alignment horizontal="center" vertical="center"/>
      <protection locked="0" hidden="1"/>
    </xf>
    <xf numFmtId="4" fontId="30" fillId="4" borderId="33" xfId="0" applyNumberFormat="1" applyFont="1" applyFill="1" applyBorder="1" applyAlignment="1" applyProtection="1">
      <alignment horizontal="center" vertical="center"/>
      <protection locked="0" hidden="1"/>
    </xf>
    <xf numFmtId="0" fontId="44" fillId="2" borderId="41" xfId="6" applyFont="1" applyFill="1" applyBorder="1" applyAlignment="1" applyProtection="1">
      <alignment horizontal="left" vertical="center"/>
      <protection locked="0" hidden="1"/>
    </xf>
    <xf numFmtId="0" fontId="44" fillId="2" borderId="42" xfId="6" applyFont="1" applyFill="1" applyBorder="1" applyAlignment="1" applyProtection="1">
      <alignment horizontal="left" vertical="center"/>
      <protection locked="0" hidden="1"/>
    </xf>
    <xf numFmtId="0" fontId="5" fillId="2" borderId="31" xfId="0" applyFont="1" applyFill="1" applyBorder="1" applyAlignment="1">
      <alignment horizontal="right" vertical="center"/>
    </xf>
    <xf numFmtId="0" fontId="5" fillId="2" borderId="32" xfId="0" applyFont="1" applyFill="1" applyBorder="1" applyAlignment="1">
      <alignment horizontal="right" vertical="center"/>
    </xf>
    <xf numFmtId="0" fontId="5" fillId="2" borderId="44" xfId="0" applyFont="1" applyFill="1" applyBorder="1" applyAlignment="1">
      <alignment horizontal="right" vertical="center"/>
    </xf>
    <xf numFmtId="0" fontId="5" fillId="2" borderId="35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45" xfId="0" applyFont="1" applyFill="1" applyBorder="1" applyAlignment="1">
      <alignment horizontal="right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34" fillId="0" borderId="32" xfId="0" applyFont="1" applyBorder="1" applyAlignment="1" applyProtection="1">
      <alignment horizontal="left" vertical="top" wrapText="1"/>
      <protection locked="0" hidden="1"/>
    </xf>
    <xf numFmtId="49" fontId="34" fillId="2" borderId="4" xfId="0" applyNumberFormat="1" applyFont="1" applyFill="1" applyBorder="1" applyAlignment="1" applyProtection="1">
      <alignment horizontal="left" vertical="center" wrapText="1"/>
      <protection locked="0" hidden="1"/>
    </xf>
    <xf numFmtId="0" fontId="33" fillId="2" borderId="32" xfId="0" applyFont="1" applyFill="1" applyBorder="1" applyAlignment="1" applyProtection="1">
      <alignment horizontal="left" vertical="top" wrapText="1"/>
      <protection locked="0" hidden="1"/>
    </xf>
    <xf numFmtId="0" fontId="0" fillId="0" borderId="4" xfId="0" applyBorder="1" applyAlignment="1" applyProtection="1">
      <alignment horizontal="left"/>
      <protection locked="0" hidden="1"/>
    </xf>
    <xf numFmtId="0" fontId="36" fillId="0" borderId="0" xfId="0" applyFont="1" applyFill="1" applyBorder="1" applyAlignment="1" applyProtection="1">
      <alignment horizontal="left" vertical="top"/>
      <protection locked="0" hidden="1"/>
    </xf>
    <xf numFmtId="0" fontId="0" fillId="8" borderId="32" xfId="0" applyFill="1" applyBorder="1" applyProtection="1">
      <protection locked="0" hidden="1"/>
    </xf>
    <xf numFmtId="0" fontId="0" fillId="8" borderId="33" xfId="0" applyFill="1" applyBorder="1" applyProtection="1">
      <protection locked="0" hidden="1"/>
    </xf>
    <xf numFmtId="4" fontId="30" fillId="9" borderId="31" xfId="0" applyNumberFormat="1" applyFont="1" applyFill="1" applyBorder="1" applyAlignment="1" applyProtection="1">
      <alignment horizontal="center" vertical="center"/>
      <protection locked="0" hidden="1"/>
    </xf>
    <xf numFmtId="0" fontId="0" fillId="9" borderId="32" xfId="0" applyFill="1" applyBorder="1" applyProtection="1">
      <protection locked="0" hidden="1"/>
    </xf>
    <xf numFmtId="0" fontId="0" fillId="9" borderId="33" xfId="0" applyFill="1" applyBorder="1" applyProtection="1">
      <protection locked="0" hidden="1"/>
    </xf>
    <xf numFmtId="0" fontId="37" fillId="7" borderId="0" xfId="0" applyFont="1" applyFill="1" applyBorder="1" applyAlignment="1" applyProtection="1">
      <alignment horizontal="left"/>
      <protection locked="0" hidden="1"/>
    </xf>
    <xf numFmtId="4" fontId="30" fillId="10" borderId="31" xfId="0" applyNumberFormat="1" applyFont="1" applyFill="1" applyBorder="1" applyAlignment="1" applyProtection="1">
      <alignment horizontal="center" vertical="center"/>
      <protection locked="0" hidden="1"/>
    </xf>
    <xf numFmtId="0" fontId="0" fillId="10" borderId="32" xfId="0" applyFill="1" applyBorder="1" applyProtection="1">
      <protection locked="0" hidden="1"/>
    </xf>
    <xf numFmtId="0" fontId="0" fillId="10" borderId="33" xfId="0" applyFill="1" applyBorder="1" applyProtection="1">
      <protection locked="0" hidden="1"/>
    </xf>
    <xf numFmtId="0" fontId="0" fillId="6" borderId="32" xfId="0" applyFill="1" applyBorder="1" applyProtection="1">
      <protection locked="0" hidden="1"/>
    </xf>
    <xf numFmtId="0" fontId="0" fillId="6" borderId="33" xfId="0" applyFill="1" applyBorder="1" applyProtection="1">
      <protection locked="0" hidden="1"/>
    </xf>
    <xf numFmtId="0" fontId="0" fillId="5" borderId="32" xfId="0" applyFill="1" applyBorder="1" applyProtection="1">
      <protection locked="0" hidden="1"/>
    </xf>
    <xf numFmtId="0" fontId="0" fillId="5" borderId="33" xfId="0" applyFill="1" applyBorder="1" applyProtection="1">
      <protection locked="0" hidden="1"/>
    </xf>
  </cellXfs>
  <cellStyles count="36">
    <cellStyle name="Euro" xfId="4"/>
    <cellStyle name="Hyperlink" xfId="2" builtinId="8"/>
    <cellStyle name="Hyperlink 2" xfId="5"/>
    <cellStyle name="Prozent 2" xfId="35"/>
    <cellStyle name="Standard" xfId="0" builtinId="0"/>
    <cellStyle name="Standard 10" xfId="6"/>
    <cellStyle name="Standard 10 2" xfId="7"/>
    <cellStyle name="Standard 11" xfId="8"/>
    <cellStyle name="Standard 11 2" xfId="9"/>
    <cellStyle name="Standard 12" xfId="10"/>
    <cellStyle name="Standard 12 2" xfId="27"/>
    <cellStyle name="Standard 13" xfId="11"/>
    <cellStyle name="Standard 13 2" xfId="28"/>
    <cellStyle name="Standard 14" xfId="25"/>
    <cellStyle name="Standard 15" xfId="3"/>
    <cellStyle name="Standard 2" xfId="12"/>
    <cellStyle name="Standard 2 2" xfId="13"/>
    <cellStyle name="Standard 2 2 2" xfId="30"/>
    <cellStyle name="Standard 2 3" xfId="29"/>
    <cellStyle name="Standard 3" xfId="14"/>
    <cellStyle name="Standard 3 2" xfId="31"/>
    <cellStyle name="Standard 4" xfId="15"/>
    <cellStyle name="Standard 4 2" xfId="32"/>
    <cellStyle name="Standard 5" xfId="16"/>
    <cellStyle name="Standard 5 2" xfId="33"/>
    <cellStyle name="Standard 6" xfId="17"/>
    <cellStyle name="Standard 6 2" xfId="18"/>
    <cellStyle name="Standard 7" xfId="19"/>
    <cellStyle name="Standard 7 2" xfId="20"/>
    <cellStyle name="Standard 8" xfId="21"/>
    <cellStyle name="Standard 8 2" xfId="22"/>
    <cellStyle name="Standard 9" xfId="23"/>
    <cellStyle name="Standard 9 2" xfId="24"/>
    <cellStyle name="Währung" xfId="1" builtinId="4"/>
    <cellStyle name="Währung 2" xfId="26"/>
    <cellStyle name="Währung 3" xfId="34"/>
  </cellStyles>
  <dxfs count="8"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P$1" lockText="1" noThreeD="1"/>
</file>

<file path=xl/ctrlProps/ctrlProp2.xml><?xml version="1.0" encoding="utf-8"?>
<formControlPr xmlns="http://schemas.microsoft.com/office/spreadsheetml/2009/9/main" objectType="CheckBox" fmlaLink="$P$1" lockText="1" noThreeD="1"/>
</file>

<file path=xl/ctrlProps/ctrlProp3.xml><?xml version="1.0" encoding="utf-8"?>
<formControlPr xmlns="http://schemas.microsoft.com/office/spreadsheetml/2009/9/main" objectType="CheckBox" fmlaLink="$P$1" lockText="1" noThreeD="1"/>
</file>

<file path=xl/ctrlProps/ctrlProp4.xml><?xml version="1.0" encoding="utf-8"?>
<formControlPr xmlns="http://schemas.microsoft.com/office/spreadsheetml/2009/9/main" objectType="CheckBox" fmlaLink="$G$1" lockText="1" noThreeD="1"/>
</file>

<file path=xl/ctrlProps/ctrlProp5.xml><?xml version="1.0" encoding="utf-8"?>
<formControlPr xmlns="http://schemas.microsoft.com/office/spreadsheetml/2009/9/main" objectType="CheckBox" fmlaLink="$G$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349316</xdr:colOff>
      <xdr:row>3</xdr:row>
      <xdr:rowOff>99060</xdr:rowOff>
    </xdr:from>
    <xdr:to>
      <xdr:col>1</xdr:col>
      <xdr:colOff>197828</xdr:colOff>
      <xdr:row>9</xdr:row>
      <xdr:rowOff>83820</xdr:rowOff>
    </xdr:to>
    <xdr:pic>
      <xdr:nvPicPr>
        <xdr:cNvPr id="2" name="Grafik 1" descr="G_Data-Logo_2011_regular_shadow_RGB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9316" y="632460"/>
          <a:ext cx="640992" cy="876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</xdr:row>
          <xdr:rowOff>9525</xdr:rowOff>
        </xdr:from>
        <xdr:to>
          <xdr:col>7</xdr:col>
          <xdr:colOff>266700</xdr:colOff>
          <xdr:row>2</xdr:row>
          <xdr:rowOff>180975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GOV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</xdr:row>
          <xdr:rowOff>9525</xdr:rowOff>
        </xdr:from>
        <xdr:to>
          <xdr:col>7</xdr:col>
          <xdr:colOff>266700</xdr:colOff>
          <xdr:row>2</xdr:row>
          <xdr:rowOff>180975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GOV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</xdr:row>
          <xdr:rowOff>9525</xdr:rowOff>
        </xdr:from>
        <xdr:to>
          <xdr:col>7</xdr:col>
          <xdr:colOff>266700</xdr:colOff>
          <xdr:row>2</xdr:row>
          <xdr:rowOff>180975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GOV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2</xdr:row>
          <xdr:rowOff>9525</xdr:rowOff>
        </xdr:from>
        <xdr:to>
          <xdr:col>9</xdr:col>
          <xdr:colOff>0</xdr:colOff>
          <xdr:row>4</xdr:row>
          <xdr:rowOff>9525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GOV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60960</xdr:colOff>
      <xdr:row>19</xdr:row>
      <xdr:rowOff>91440</xdr:rowOff>
    </xdr:from>
    <xdr:to>
      <xdr:col>11</xdr:col>
      <xdr:colOff>190500</xdr:colOff>
      <xdr:row>35</xdr:row>
      <xdr:rowOff>129540</xdr:rowOff>
    </xdr:to>
    <xdr:sp macro="" textlink="">
      <xdr:nvSpPr>
        <xdr:cNvPr id="2" name="Geschweifte Klammer rechts 1"/>
        <xdr:cNvSpPr/>
      </xdr:nvSpPr>
      <xdr:spPr>
        <a:xfrm>
          <a:off x="7101840" y="1318260"/>
          <a:ext cx="342900" cy="3070860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106680</xdr:colOff>
      <xdr:row>38</xdr:row>
      <xdr:rowOff>45720</xdr:rowOff>
    </xdr:from>
    <xdr:to>
      <xdr:col>11</xdr:col>
      <xdr:colOff>182880</xdr:colOff>
      <xdr:row>46</xdr:row>
      <xdr:rowOff>152400</xdr:rowOff>
    </xdr:to>
    <xdr:sp macro="" textlink="">
      <xdr:nvSpPr>
        <xdr:cNvPr id="5" name="Geschweifte Klammer rechts 4"/>
        <xdr:cNvSpPr/>
      </xdr:nvSpPr>
      <xdr:spPr>
        <a:xfrm>
          <a:off x="7147560" y="4792980"/>
          <a:ext cx="289560" cy="1706880"/>
        </a:xfrm>
        <a:prstGeom prst="rightBrace">
          <a:avLst>
            <a:gd name="adj1" fmla="val 8333"/>
            <a:gd name="adj2" fmla="val 51786"/>
          </a:avLst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11</xdr:col>
      <xdr:colOff>281940</xdr:colOff>
      <xdr:row>26</xdr:row>
      <xdr:rowOff>0</xdr:rowOff>
    </xdr:from>
    <xdr:to>
      <xdr:col>16</xdr:col>
      <xdr:colOff>182880</xdr:colOff>
      <xdr:row>29</xdr:row>
      <xdr:rowOff>91440</xdr:rowOff>
    </xdr:to>
    <xdr:sp macro="" textlink="">
      <xdr:nvSpPr>
        <xdr:cNvPr id="3" name="Abgerundetes Rechteck 2"/>
        <xdr:cNvSpPr/>
      </xdr:nvSpPr>
      <xdr:spPr>
        <a:xfrm>
          <a:off x="7536180" y="2575560"/>
          <a:ext cx="2202180" cy="57912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de-DE" sz="1400"/>
            <a:t>full</a:t>
          </a:r>
          <a:r>
            <a:rPr lang="de-DE" sz="1400" baseline="0"/>
            <a:t> terms</a:t>
          </a:r>
          <a:r>
            <a:rPr lang="de-DE" sz="1400"/>
            <a:t>!!!</a:t>
          </a:r>
        </a:p>
      </xdr:txBody>
    </xdr:sp>
    <xdr:clientData/>
  </xdr:twoCellAnchor>
  <xdr:twoCellAnchor>
    <xdr:from>
      <xdr:col>11</xdr:col>
      <xdr:colOff>228600</xdr:colOff>
      <xdr:row>41</xdr:row>
      <xdr:rowOff>30480</xdr:rowOff>
    </xdr:from>
    <xdr:to>
      <xdr:col>16</xdr:col>
      <xdr:colOff>297180</xdr:colOff>
      <xdr:row>44</xdr:row>
      <xdr:rowOff>121920</xdr:rowOff>
    </xdr:to>
    <xdr:sp macro="" textlink="">
      <xdr:nvSpPr>
        <xdr:cNvPr id="7" name="Abgerundetes Rechteck 6"/>
        <xdr:cNvSpPr/>
      </xdr:nvSpPr>
      <xdr:spPr>
        <a:xfrm>
          <a:off x="6766560" y="5265420"/>
          <a:ext cx="2369820" cy="60960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de-DE" sz="1400">
              <a:effectLst/>
            </a:rPr>
            <a:t>remaining term calculation</a:t>
          </a:r>
          <a:r>
            <a:rPr lang="de-DE" sz="1400" baseline="0"/>
            <a:t>!!!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2</xdr:row>
          <xdr:rowOff>9525</xdr:rowOff>
        </xdr:from>
        <xdr:to>
          <xdr:col>9</xdr:col>
          <xdr:colOff>0</xdr:colOff>
          <xdr:row>4</xdr:row>
          <xdr:rowOff>9525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GOV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60960</xdr:colOff>
      <xdr:row>19</xdr:row>
      <xdr:rowOff>114300</xdr:rowOff>
    </xdr:from>
    <xdr:to>
      <xdr:col>11</xdr:col>
      <xdr:colOff>190500</xdr:colOff>
      <xdr:row>35</xdr:row>
      <xdr:rowOff>152400</xdr:rowOff>
    </xdr:to>
    <xdr:sp macro="" textlink="">
      <xdr:nvSpPr>
        <xdr:cNvPr id="9" name="Geschweifte Klammer rechts 8"/>
        <xdr:cNvSpPr/>
      </xdr:nvSpPr>
      <xdr:spPr>
        <a:xfrm>
          <a:off x="6385560" y="1341120"/>
          <a:ext cx="342900" cy="2887980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106680</xdr:colOff>
      <xdr:row>38</xdr:row>
      <xdr:rowOff>45720</xdr:rowOff>
    </xdr:from>
    <xdr:to>
      <xdr:col>11</xdr:col>
      <xdr:colOff>182880</xdr:colOff>
      <xdr:row>46</xdr:row>
      <xdr:rowOff>152400</xdr:rowOff>
    </xdr:to>
    <xdr:sp macro="" textlink="">
      <xdr:nvSpPr>
        <xdr:cNvPr id="10" name="Geschweifte Klammer rechts 9"/>
        <xdr:cNvSpPr/>
      </xdr:nvSpPr>
      <xdr:spPr>
        <a:xfrm>
          <a:off x="6431280" y="4610100"/>
          <a:ext cx="289560" cy="1783080"/>
        </a:xfrm>
        <a:prstGeom prst="rightBrace">
          <a:avLst>
            <a:gd name="adj1" fmla="val 8333"/>
            <a:gd name="adj2" fmla="val 51786"/>
          </a:avLst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11</xdr:col>
      <xdr:colOff>281940</xdr:colOff>
      <xdr:row>26</xdr:row>
      <xdr:rowOff>0</xdr:rowOff>
    </xdr:from>
    <xdr:to>
      <xdr:col>16</xdr:col>
      <xdr:colOff>182880</xdr:colOff>
      <xdr:row>29</xdr:row>
      <xdr:rowOff>91440</xdr:rowOff>
    </xdr:to>
    <xdr:sp macro="" textlink="">
      <xdr:nvSpPr>
        <xdr:cNvPr id="11" name="Abgerundetes Rechteck 10"/>
        <xdr:cNvSpPr/>
      </xdr:nvSpPr>
      <xdr:spPr>
        <a:xfrm>
          <a:off x="6819900" y="2468880"/>
          <a:ext cx="2202180" cy="6096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de-DE" sz="1400"/>
            <a:t>full</a:t>
          </a:r>
          <a:r>
            <a:rPr lang="de-DE" sz="1400" baseline="0"/>
            <a:t> terms</a:t>
          </a:r>
          <a:r>
            <a:rPr lang="de-DE" sz="1400"/>
            <a:t>!!!</a:t>
          </a:r>
        </a:p>
      </xdr:txBody>
    </xdr:sp>
    <xdr:clientData/>
  </xdr:twoCellAnchor>
  <xdr:twoCellAnchor>
    <xdr:from>
      <xdr:col>11</xdr:col>
      <xdr:colOff>228600</xdr:colOff>
      <xdr:row>41</xdr:row>
      <xdr:rowOff>30480</xdr:rowOff>
    </xdr:from>
    <xdr:to>
      <xdr:col>16</xdr:col>
      <xdr:colOff>297180</xdr:colOff>
      <xdr:row>44</xdr:row>
      <xdr:rowOff>121920</xdr:rowOff>
    </xdr:to>
    <xdr:sp macro="" textlink="">
      <xdr:nvSpPr>
        <xdr:cNvPr id="12" name="Abgerundetes Rechteck 11"/>
        <xdr:cNvSpPr/>
      </xdr:nvSpPr>
      <xdr:spPr>
        <a:xfrm>
          <a:off x="6766560" y="5265420"/>
          <a:ext cx="2369820" cy="609600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de-DE" sz="1400">
              <a:effectLst/>
            </a:rPr>
            <a:t>remaining term calculation</a:t>
          </a:r>
          <a:r>
            <a:rPr lang="de-DE" sz="1400" baseline="0"/>
            <a:t>!!!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Nicole.Simon\private\Preislisten\International\G%20Data_price%20list%20incl.%20license%20calculator_Lvl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Data Contacts"/>
      <sheetName val="Total Price List"/>
      <sheetName val="Business License"/>
      <sheetName val="MUL"/>
      <sheetName val="Upgrades"/>
      <sheetName val="EDU_GOV"/>
      <sheetName val="calculator_license &amp; GOV"/>
      <sheetName val="calculator_PM"/>
      <sheetName val="calculator_cro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1" tint="0.499984740745262"/>
  </sheetPr>
  <dimension ref="A2:C11"/>
  <sheetViews>
    <sheetView showGridLines="0" workbookViewId="0">
      <selection activeCell="E1" sqref="E1"/>
    </sheetView>
  </sheetViews>
  <sheetFormatPr baseColWidth="10" defaultColWidth="11.5703125" defaultRowHeight="15" x14ac:dyDescent="0.25"/>
  <cols>
    <col min="1" max="2" width="11.5703125" style="1"/>
    <col min="3" max="3" width="14.140625" style="1" customWidth="1"/>
    <col min="4" max="5" width="11.5703125" style="1"/>
    <col min="6" max="6" width="14.140625" style="1" customWidth="1"/>
    <col min="7" max="8" width="11.5703125" style="1"/>
    <col min="9" max="9" width="14.140625" style="1" customWidth="1"/>
    <col min="10" max="16384" width="11.5703125" style="1"/>
  </cols>
  <sheetData>
    <row r="2" spans="1:3" s="44" customFormat="1" ht="15.6" x14ac:dyDescent="0.3">
      <c r="A2" s="43" t="s">
        <v>739</v>
      </c>
    </row>
    <row r="3" spans="1:3" s="42" customFormat="1" ht="12" x14ac:dyDescent="0.3"/>
    <row r="4" spans="1:3" s="41" customFormat="1" ht="13.9" x14ac:dyDescent="0.3">
      <c r="A4" s="420"/>
      <c r="B4" s="421"/>
      <c r="C4" s="421"/>
    </row>
    <row r="5" spans="1:3" s="42" customFormat="1" ht="12" x14ac:dyDescent="0.3">
      <c r="A5" s="422"/>
      <c r="B5" s="422"/>
      <c r="C5" s="422"/>
    </row>
    <row r="6" spans="1:3" s="42" customFormat="1" ht="12" x14ac:dyDescent="0.3">
      <c r="A6" s="422"/>
      <c r="B6" s="422"/>
      <c r="C6" s="422"/>
    </row>
    <row r="7" spans="1:3" s="42" customFormat="1" ht="12" x14ac:dyDescent="0.3">
      <c r="A7" s="422"/>
      <c r="B7" s="422"/>
      <c r="C7" s="422"/>
    </row>
    <row r="8" spans="1:3" s="42" customFormat="1" ht="12" x14ac:dyDescent="0.3">
      <c r="A8" s="855"/>
      <c r="B8" s="855"/>
      <c r="C8" s="855"/>
    </row>
    <row r="9" spans="1:3" s="42" customFormat="1" ht="8.4499999999999993" customHeight="1" x14ac:dyDescent="0.3">
      <c r="A9" s="47"/>
    </row>
    <row r="11" spans="1:3" ht="14.45" x14ac:dyDescent="0.3">
      <c r="A11" s="419"/>
    </row>
  </sheetData>
  <sheetProtection algorithmName="SHA-512" hashValue="r5PJHFAdDJvzyiD+dkHdaCo/H0R/U8HEFLY7kv++ZRp1uoGqwVs+y07VlPBXFMQqf43ou7ilWTk/SbtDbL5ljQ==" saltValue="svXvK8tRDMWtO0iXWMBgxg==" spinCount="100000" sheet="1" objects="1" scenarios="1" formatColumns="0" sort="0" autoFilter="0"/>
  <mergeCells count="1">
    <mergeCell ref="A8:C8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C00000"/>
  </sheetPr>
  <dimension ref="A1:K798"/>
  <sheetViews>
    <sheetView showGridLines="0" tabSelected="1" zoomScaleNormal="100" workbookViewId="0">
      <pane ySplit="7" topLeftCell="A329" activePane="bottomLeft" state="frozenSplit"/>
      <selection pane="bottomLeft" activeCell="L72" sqref="L72"/>
    </sheetView>
  </sheetViews>
  <sheetFormatPr baseColWidth="10" defaultColWidth="11.5703125" defaultRowHeight="12" x14ac:dyDescent="0.2"/>
  <cols>
    <col min="1" max="1" width="7.7109375" style="82" customWidth="1"/>
    <col min="2" max="2" width="14.28515625" style="2" customWidth="1"/>
    <col min="3" max="3" width="10.85546875" style="2" bestFit="1" customWidth="1"/>
    <col min="4" max="4" width="33.42578125" style="2" bestFit="1" customWidth="1"/>
    <col min="5" max="5" width="20.42578125" style="2" customWidth="1"/>
    <col min="6" max="6" width="6.7109375" style="82" customWidth="1"/>
    <col min="7" max="7" width="40.85546875" style="2" bestFit="1" customWidth="1"/>
    <col min="8" max="8" width="40.7109375" style="2" customWidth="1"/>
    <col min="9" max="9" width="14.7109375" style="57" bestFit="1" customWidth="1"/>
    <col min="10" max="10" width="10.7109375" style="2" customWidth="1"/>
    <col min="11" max="11" width="11.5703125" style="546"/>
    <col min="12" max="16384" width="11.5703125" style="2"/>
  </cols>
  <sheetData>
    <row r="1" spans="1:11" s="14" customFormat="1" ht="18.75" x14ac:dyDescent="0.3">
      <c r="A1" s="862" t="s">
        <v>740</v>
      </c>
      <c r="B1" s="862"/>
      <c r="C1" s="862"/>
      <c r="D1" s="862"/>
      <c r="E1" s="862"/>
      <c r="F1" s="862"/>
      <c r="G1" s="862"/>
      <c r="H1" s="862"/>
      <c r="I1" s="862"/>
      <c r="J1" s="862"/>
      <c r="K1" s="548"/>
    </row>
    <row r="2" spans="1:11" s="14" customFormat="1" ht="10.15" customHeight="1" thickBot="1" x14ac:dyDescent="0.35">
      <c r="A2" s="81"/>
      <c r="B2" s="54"/>
      <c r="C2" s="54"/>
      <c r="D2" s="54"/>
      <c r="E2" s="54"/>
      <c r="F2" s="81"/>
      <c r="G2" s="54"/>
      <c r="H2" s="54"/>
      <c r="I2" s="55"/>
      <c r="J2" s="54"/>
      <c r="K2" s="548"/>
    </row>
    <row r="3" spans="1:11" s="15" customFormat="1" ht="15" customHeight="1" thickBot="1" x14ac:dyDescent="0.55000000000000004">
      <c r="A3" s="863" t="s">
        <v>834</v>
      </c>
      <c r="B3" s="864"/>
      <c r="C3" s="418"/>
      <c r="F3" s="95"/>
      <c r="H3" s="97"/>
      <c r="I3" s="56"/>
      <c r="K3" s="549"/>
    </row>
    <row r="4" spans="1:11" s="15" customFormat="1" ht="15" customHeight="1" thickBot="1" x14ac:dyDescent="0.3">
      <c r="A4" s="865" t="s">
        <v>741</v>
      </c>
      <c r="B4" s="866"/>
      <c r="C4" s="418"/>
      <c r="D4" s="869"/>
      <c r="E4" s="869"/>
      <c r="F4" s="869"/>
      <c r="G4" s="872"/>
      <c r="H4" s="872"/>
      <c r="I4" s="872"/>
      <c r="K4" s="549"/>
    </row>
    <row r="5" spans="1:11" s="15" customFormat="1" ht="15" customHeight="1" thickBot="1" x14ac:dyDescent="0.3">
      <c r="A5" s="867" t="s">
        <v>742</v>
      </c>
      <c r="B5" s="868"/>
      <c r="C5" s="418"/>
      <c r="D5" s="870"/>
      <c r="E5" s="871"/>
      <c r="F5" s="871"/>
      <c r="G5" s="287"/>
      <c r="I5" s="56"/>
      <c r="K5" s="549"/>
    </row>
    <row r="6" spans="1:11" ht="15.75" thickBot="1" x14ac:dyDescent="0.25">
      <c r="F6" s="96"/>
      <c r="H6" s="74"/>
    </row>
    <row r="7" spans="1:11" s="324" customFormat="1" ht="36.75" thickBot="1" x14ac:dyDescent="0.3">
      <c r="A7" s="325" t="s">
        <v>743</v>
      </c>
      <c r="B7" s="326" t="s">
        <v>744</v>
      </c>
      <c r="C7" s="326" t="s">
        <v>449</v>
      </c>
      <c r="D7" s="326" t="s">
        <v>745</v>
      </c>
      <c r="E7" s="326" t="s">
        <v>746</v>
      </c>
      <c r="F7" s="326" t="s">
        <v>747</v>
      </c>
      <c r="G7" s="326" t="s">
        <v>748</v>
      </c>
      <c r="H7" s="326" t="s">
        <v>749</v>
      </c>
      <c r="I7" s="327" t="s">
        <v>750</v>
      </c>
      <c r="J7" s="328" t="s">
        <v>751</v>
      </c>
      <c r="K7" s="560"/>
    </row>
    <row r="8" spans="1:11" ht="12" customHeight="1" x14ac:dyDescent="0.2">
      <c r="A8" s="98" t="s">
        <v>782</v>
      </c>
      <c r="B8" s="99"/>
      <c r="C8" s="99"/>
      <c r="D8" s="99"/>
      <c r="E8" s="99"/>
      <c r="F8" s="99"/>
      <c r="G8" s="99"/>
      <c r="H8" s="99"/>
      <c r="I8" s="99"/>
      <c r="J8" s="100"/>
    </row>
    <row r="9" spans="1:11" ht="12" customHeight="1" x14ac:dyDescent="0.2">
      <c r="A9" s="83" t="s">
        <v>0</v>
      </c>
      <c r="B9" s="4">
        <v>20211</v>
      </c>
      <c r="C9" s="4"/>
      <c r="D9" s="3" t="s">
        <v>1</v>
      </c>
      <c r="E9" s="3" t="s">
        <v>2</v>
      </c>
      <c r="F9" s="4" t="s">
        <v>346</v>
      </c>
      <c r="G9" s="3" t="s">
        <v>3</v>
      </c>
      <c r="H9" s="3" t="s">
        <v>752</v>
      </c>
      <c r="I9" s="5">
        <v>37.5</v>
      </c>
      <c r="J9" s="23">
        <f t="shared" ref="J9:J32" si="0">IF(I9="on request","on request",IF(F9="Box",I9*(100%-$C$3),IF(F9="License",I9*(100%-$C$4),IF(F9="Renewal",I9*(100%-$C$5),IF(F9="ESD",I9*(100%-$C$3),I9)))))</f>
        <v>37.5</v>
      </c>
      <c r="K9" s="561"/>
    </row>
    <row r="10" spans="1:11" ht="12" customHeight="1" x14ac:dyDescent="0.2">
      <c r="A10" s="83" t="s">
        <v>0</v>
      </c>
      <c r="B10" s="4">
        <v>20212</v>
      </c>
      <c r="C10" s="4"/>
      <c r="D10" s="3" t="s">
        <v>4</v>
      </c>
      <c r="E10" s="3" t="s">
        <v>5</v>
      </c>
      <c r="F10" s="4" t="s">
        <v>346</v>
      </c>
      <c r="G10" s="3" t="s">
        <v>3</v>
      </c>
      <c r="H10" s="3" t="s">
        <v>752</v>
      </c>
      <c r="I10" s="5">
        <v>31.5</v>
      </c>
      <c r="J10" s="23">
        <f t="shared" si="0"/>
        <v>31.5</v>
      </c>
      <c r="K10" s="561"/>
    </row>
    <row r="11" spans="1:11" ht="12" customHeight="1" x14ac:dyDescent="0.2">
      <c r="A11" s="83" t="s">
        <v>0</v>
      </c>
      <c r="B11" s="4">
        <v>20213</v>
      </c>
      <c r="C11" s="4"/>
      <c r="D11" s="3" t="s">
        <v>6</v>
      </c>
      <c r="E11" s="3" t="s">
        <v>7</v>
      </c>
      <c r="F11" s="4" t="s">
        <v>346</v>
      </c>
      <c r="G11" s="3" t="s">
        <v>3</v>
      </c>
      <c r="H11" s="3" t="s">
        <v>752</v>
      </c>
      <c r="I11" s="5">
        <v>25.125</v>
      </c>
      <c r="J11" s="23">
        <f t="shared" si="0"/>
        <v>25.125</v>
      </c>
      <c r="K11" s="561"/>
    </row>
    <row r="12" spans="1:11" ht="12" customHeight="1" x14ac:dyDescent="0.2">
      <c r="A12" s="83" t="s">
        <v>0</v>
      </c>
      <c r="B12" s="4">
        <v>20214</v>
      </c>
      <c r="C12" s="4"/>
      <c r="D12" s="3" t="s">
        <v>8</v>
      </c>
      <c r="E12" s="3" t="s">
        <v>9</v>
      </c>
      <c r="F12" s="4" t="s">
        <v>346</v>
      </c>
      <c r="G12" s="3" t="s">
        <v>3</v>
      </c>
      <c r="H12" s="3" t="s">
        <v>752</v>
      </c>
      <c r="I12" s="5">
        <v>19.5</v>
      </c>
      <c r="J12" s="23">
        <f t="shared" si="0"/>
        <v>19.5</v>
      </c>
      <c r="K12" s="561"/>
    </row>
    <row r="13" spans="1:11" ht="12" customHeight="1" x14ac:dyDescent="0.2">
      <c r="A13" s="83" t="s">
        <v>0</v>
      </c>
      <c r="B13" s="4">
        <v>20215</v>
      </c>
      <c r="C13" s="4"/>
      <c r="D13" s="3" t="s">
        <v>10</v>
      </c>
      <c r="E13" s="3" t="s">
        <v>11</v>
      </c>
      <c r="F13" s="4" t="s">
        <v>346</v>
      </c>
      <c r="G13" s="3" t="s">
        <v>3</v>
      </c>
      <c r="H13" s="3" t="s">
        <v>752</v>
      </c>
      <c r="I13" s="5">
        <v>17.25</v>
      </c>
      <c r="J13" s="23">
        <f t="shared" si="0"/>
        <v>17.25</v>
      </c>
      <c r="K13" s="561"/>
    </row>
    <row r="14" spans="1:11" ht="12" customHeight="1" x14ac:dyDescent="0.2">
      <c r="A14" s="83" t="s">
        <v>0</v>
      </c>
      <c r="B14" s="4">
        <v>20216</v>
      </c>
      <c r="C14" s="4"/>
      <c r="D14" s="3" t="s">
        <v>12</v>
      </c>
      <c r="E14" s="3" t="s">
        <v>13</v>
      </c>
      <c r="F14" s="4" t="s">
        <v>346</v>
      </c>
      <c r="G14" s="3" t="s">
        <v>3</v>
      </c>
      <c r="H14" s="3" t="s">
        <v>752</v>
      </c>
      <c r="I14" s="5">
        <v>15</v>
      </c>
      <c r="J14" s="23">
        <f t="shared" si="0"/>
        <v>15</v>
      </c>
      <c r="K14" s="561"/>
    </row>
    <row r="15" spans="1:11" ht="12" customHeight="1" x14ac:dyDescent="0.2">
      <c r="A15" s="83" t="s">
        <v>0</v>
      </c>
      <c r="B15" s="4">
        <v>20217</v>
      </c>
      <c r="C15" s="4"/>
      <c r="D15" s="3" t="s">
        <v>14</v>
      </c>
      <c r="E15" s="3" t="s">
        <v>15</v>
      </c>
      <c r="F15" s="4" t="s">
        <v>346</v>
      </c>
      <c r="G15" s="3" t="s">
        <v>3</v>
      </c>
      <c r="H15" s="3" t="s">
        <v>752</v>
      </c>
      <c r="I15" s="5">
        <v>13.5</v>
      </c>
      <c r="J15" s="23">
        <f t="shared" si="0"/>
        <v>13.5</v>
      </c>
      <c r="K15" s="561"/>
    </row>
    <row r="16" spans="1:11" ht="12" customHeight="1" x14ac:dyDescent="0.2">
      <c r="A16" s="83" t="s">
        <v>0</v>
      </c>
      <c r="B16" s="4">
        <v>20218</v>
      </c>
      <c r="C16" s="4"/>
      <c r="D16" s="3" t="s">
        <v>16</v>
      </c>
      <c r="E16" s="3" t="s">
        <v>17</v>
      </c>
      <c r="F16" s="4" t="s">
        <v>346</v>
      </c>
      <c r="G16" s="3" t="s">
        <v>3</v>
      </c>
      <c r="H16" s="3" t="s">
        <v>752</v>
      </c>
      <c r="I16" s="5">
        <v>12</v>
      </c>
      <c r="J16" s="23">
        <f t="shared" si="0"/>
        <v>12</v>
      </c>
      <c r="K16" s="561"/>
    </row>
    <row r="17" spans="1:11" ht="12" customHeight="1" x14ac:dyDescent="0.2">
      <c r="A17" s="83" t="s">
        <v>0</v>
      </c>
      <c r="B17" s="4">
        <v>20221</v>
      </c>
      <c r="C17" s="4"/>
      <c r="D17" s="3" t="s">
        <v>19</v>
      </c>
      <c r="E17" s="3" t="s">
        <v>2</v>
      </c>
      <c r="F17" s="4" t="s">
        <v>346</v>
      </c>
      <c r="G17" s="3" t="s">
        <v>3</v>
      </c>
      <c r="H17" s="3" t="s">
        <v>753</v>
      </c>
      <c r="I17" s="5">
        <v>52.5</v>
      </c>
      <c r="J17" s="23">
        <f t="shared" si="0"/>
        <v>52.5</v>
      </c>
      <c r="K17" s="561"/>
    </row>
    <row r="18" spans="1:11" ht="12" customHeight="1" x14ac:dyDescent="0.2">
      <c r="A18" s="83" t="s">
        <v>0</v>
      </c>
      <c r="B18" s="4">
        <v>20222</v>
      </c>
      <c r="C18" s="4"/>
      <c r="D18" s="3" t="s">
        <v>20</v>
      </c>
      <c r="E18" s="3" t="s">
        <v>5</v>
      </c>
      <c r="F18" s="4" t="s">
        <v>346</v>
      </c>
      <c r="G18" s="3" t="s">
        <v>3</v>
      </c>
      <c r="H18" s="3" t="s">
        <v>753</v>
      </c>
      <c r="I18" s="5">
        <v>46.5</v>
      </c>
      <c r="J18" s="23">
        <f t="shared" si="0"/>
        <v>46.5</v>
      </c>
      <c r="K18" s="561"/>
    </row>
    <row r="19" spans="1:11" ht="12" customHeight="1" x14ac:dyDescent="0.2">
      <c r="A19" s="83" t="s">
        <v>0</v>
      </c>
      <c r="B19" s="4">
        <v>20223</v>
      </c>
      <c r="C19" s="4"/>
      <c r="D19" s="3" t="s">
        <v>21</v>
      </c>
      <c r="E19" s="3" t="s">
        <v>7</v>
      </c>
      <c r="F19" s="4" t="s">
        <v>346</v>
      </c>
      <c r="G19" s="3" t="s">
        <v>3</v>
      </c>
      <c r="H19" s="3" t="s">
        <v>753</v>
      </c>
      <c r="I19" s="5">
        <v>36</v>
      </c>
      <c r="J19" s="23">
        <f t="shared" si="0"/>
        <v>36</v>
      </c>
      <c r="K19" s="561"/>
    </row>
    <row r="20" spans="1:11" ht="12" customHeight="1" x14ac:dyDescent="0.2">
      <c r="A20" s="83" t="s">
        <v>0</v>
      </c>
      <c r="B20" s="4">
        <v>20224</v>
      </c>
      <c r="C20" s="4"/>
      <c r="D20" s="3" t="s">
        <v>22</v>
      </c>
      <c r="E20" s="3" t="s">
        <v>9</v>
      </c>
      <c r="F20" s="4" t="s">
        <v>346</v>
      </c>
      <c r="G20" s="3" t="s">
        <v>3</v>
      </c>
      <c r="H20" s="3" t="s">
        <v>753</v>
      </c>
      <c r="I20" s="5">
        <v>30</v>
      </c>
      <c r="J20" s="23">
        <f t="shared" si="0"/>
        <v>30</v>
      </c>
      <c r="K20" s="561"/>
    </row>
    <row r="21" spans="1:11" ht="12" customHeight="1" x14ac:dyDescent="0.2">
      <c r="A21" s="83" t="s">
        <v>0</v>
      </c>
      <c r="B21" s="4">
        <v>20225</v>
      </c>
      <c r="C21" s="4"/>
      <c r="D21" s="3" t="s">
        <v>23</v>
      </c>
      <c r="E21" s="3" t="s">
        <v>11</v>
      </c>
      <c r="F21" s="4" t="s">
        <v>346</v>
      </c>
      <c r="G21" s="3" t="s">
        <v>3</v>
      </c>
      <c r="H21" s="3" t="s">
        <v>753</v>
      </c>
      <c r="I21" s="5">
        <v>26.25</v>
      </c>
      <c r="J21" s="23">
        <f t="shared" si="0"/>
        <v>26.25</v>
      </c>
      <c r="K21" s="561"/>
    </row>
    <row r="22" spans="1:11" ht="12" customHeight="1" x14ac:dyDescent="0.2">
      <c r="A22" s="83" t="s">
        <v>0</v>
      </c>
      <c r="B22" s="4">
        <v>20226</v>
      </c>
      <c r="C22" s="4"/>
      <c r="D22" s="3" t="s">
        <v>24</v>
      </c>
      <c r="E22" s="3" t="s">
        <v>13</v>
      </c>
      <c r="F22" s="4" t="s">
        <v>346</v>
      </c>
      <c r="G22" s="3" t="s">
        <v>3</v>
      </c>
      <c r="H22" s="3" t="s">
        <v>753</v>
      </c>
      <c r="I22" s="5">
        <v>22.5</v>
      </c>
      <c r="J22" s="23">
        <f t="shared" si="0"/>
        <v>22.5</v>
      </c>
      <c r="K22" s="561"/>
    </row>
    <row r="23" spans="1:11" ht="12" customHeight="1" x14ac:dyDescent="0.2">
      <c r="A23" s="83" t="s">
        <v>0</v>
      </c>
      <c r="B23" s="4">
        <v>20227</v>
      </c>
      <c r="C23" s="4"/>
      <c r="D23" s="3" t="s">
        <v>25</v>
      </c>
      <c r="E23" s="3" t="s">
        <v>15</v>
      </c>
      <c r="F23" s="4" t="s">
        <v>346</v>
      </c>
      <c r="G23" s="3" t="s">
        <v>3</v>
      </c>
      <c r="H23" s="3" t="s">
        <v>753</v>
      </c>
      <c r="I23" s="5">
        <v>20.25</v>
      </c>
      <c r="J23" s="23">
        <f t="shared" si="0"/>
        <v>20.25</v>
      </c>
      <c r="K23" s="561"/>
    </row>
    <row r="24" spans="1:11" ht="12" customHeight="1" x14ac:dyDescent="0.2">
      <c r="A24" s="83" t="s">
        <v>0</v>
      </c>
      <c r="B24" s="4">
        <v>20228</v>
      </c>
      <c r="C24" s="4"/>
      <c r="D24" s="3" t="s">
        <v>26</v>
      </c>
      <c r="E24" s="3" t="s">
        <v>17</v>
      </c>
      <c r="F24" s="4" t="s">
        <v>346</v>
      </c>
      <c r="G24" s="3" t="s">
        <v>3</v>
      </c>
      <c r="H24" s="3" t="s">
        <v>753</v>
      </c>
      <c r="I24" s="5">
        <v>18.75</v>
      </c>
      <c r="J24" s="23">
        <f t="shared" si="0"/>
        <v>18.75</v>
      </c>
      <c r="K24" s="561"/>
    </row>
    <row r="25" spans="1:11" ht="12" customHeight="1" x14ac:dyDescent="0.2">
      <c r="A25" s="83" t="s">
        <v>0</v>
      </c>
      <c r="B25" s="4">
        <v>20231</v>
      </c>
      <c r="C25" s="4"/>
      <c r="D25" s="3" t="s">
        <v>27</v>
      </c>
      <c r="E25" s="3" t="s">
        <v>2</v>
      </c>
      <c r="F25" s="4" t="s">
        <v>346</v>
      </c>
      <c r="G25" s="3" t="s">
        <v>3</v>
      </c>
      <c r="H25" s="3" t="s">
        <v>755</v>
      </c>
      <c r="I25" s="5">
        <v>66.75</v>
      </c>
      <c r="J25" s="23">
        <f t="shared" si="0"/>
        <v>66.75</v>
      </c>
      <c r="K25" s="561"/>
    </row>
    <row r="26" spans="1:11" ht="12" customHeight="1" x14ac:dyDescent="0.2">
      <c r="A26" s="83" t="s">
        <v>0</v>
      </c>
      <c r="B26" s="4">
        <v>20232</v>
      </c>
      <c r="C26" s="4"/>
      <c r="D26" s="3" t="s">
        <v>28</v>
      </c>
      <c r="E26" s="3" t="s">
        <v>5</v>
      </c>
      <c r="F26" s="4" t="s">
        <v>346</v>
      </c>
      <c r="G26" s="3" t="s">
        <v>3</v>
      </c>
      <c r="H26" s="3" t="s">
        <v>755</v>
      </c>
      <c r="I26" s="5">
        <v>59.25</v>
      </c>
      <c r="J26" s="23">
        <f t="shared" si="0"/>
        <v>59.25</v>
      </c>
      <c r="K26" s="561"/>
    </row>
    <row r="27" spans="1:11" ht="12" customHeight="1" x14ac:dyDescent="0.2">
      <c r="A27" s="83" t="s">
        <v>0</v>
      </c>
      <c r="B27" s="4">
        <v>20233</v>
      </c>
      <c r="C27" s="4"/>
      <c r="D27" s="3" t="s">
        <v>29</v>
      </c>
      <c r="E27" s="3" t="s">
        <v>7</v>
      </c>
      <c r="F27" s="4" t="s">
        <v>346</v>
      </c>
      <c r="G27" s="3" t="s">
        <v>3</v>
      </c>
      <c r="H27" s="3" t="s">
        <v>755</v>
      </c>
      <c r="I27" s="5">
        <v>51</v>
      </c>
      <c r="J27" s="23">
        <f t="shared" si="0"/>
        <v>51</v>
      </c>
      <c r="K27" s="561"/>
    </row>
    <row r="28" spans="1:11" ht="12" customHeight="1" x14ac:dyDescent="0.2">
      <c r="A28" s="83" t="s">
        <v>0</v>
      </c>
      <c r="B28" s="4">
        <v>20234</v>
      </c>
      <c r="C28" s="4"/>
      <c r="D28" s="3" t="s">
        <v>30</v>
      </c>
      <c r="E28" s="3" t="s">
        <v>9</v>
      </c>
      <c r="F28" s="4" t="s">
        <v>346</v>
      </c>
      <c r="G28" s="3" t="s">
        <v>3</v>
      </c>
      <c r="H28" s="3" t="s">
        <v>755</v>
      </c>
      <c r="I28" s="5">
        <v>43.5</v>
      </c>
      <c r="J28" s="23">
        <f t="shared" si="0"/>
        <v>43.5</v>
      </c>
      <c r="K28" s="561"/>
    </row>
    <row r="29" spans="1:11" ht="12" customHeight="1" x14ac:dyDescent="0.2">
      <c r="A29" s="83" t="s">
        <v>0</v>
      </c>
      <c r="B29" s="4">
        <v>20235</v>
      </c>
      <c r="C29" s="4"/>
      <c r="D29" s="3" t="s">
        <v>31</v>
      </c>
      <c r="E29" s="3" t="s">
        <v>11</v>
      </c>
      <c r="F29" s="4" t="s">
        <v>346</v>
      </c>
      <c r="G29" s="3" t="s">
        <v>3</v>
      </c>
      <c r="H29" s="3" t="s">
        <v>755</v>
      </c>
      <c r="I29" s="5">
        <v>36.75</v>
      </c>
      <c r="J29" s="23">
        <f t="shared" si="0"/>
        <v>36.75</v>
      </c>
      <c r="K29" s="561"/>
    </row>
    <row r="30" spans="1:11" ht="12" customHeight="1" x14ac:dyDescent="0.2">
      <c r="A30" s="83" t="s">
        <v>0</v>
      </c>
      <c r="B30" s="4">
        <v>20236</v>
      </c>
      <c r="C30" s="4"/>
      <c r="D30" s="3" t="s">
        <v>32</v>
      </c>
      <c r="E30" s="3" t="s">
        <v>13</v>
      </c>
      <c r="F30" s="4" t="s">
        <v>346</v>
      </c>
      <c r="G30" s="3" t="s">
        <v>3</v>
      </c>
      <c r="H30" s="3" t="s">
        <v>755</v>
      </c>
      <c r="I30" s="5">
        <v>30.75</v>
      </c>
      <c r="J30" s="23">
        <f t="shared" si="0"/>
        <v>30.75</v>
      </c>
      <c r="K30" s="561"/>
    </row>
    <row r="31" spans="1:11" ht="12" customHeight="1" x14ac:dyDescent="0.2">
      <c r="A31" s="83" t="s">
        <v>0</v>
      </c>
      <c r="B31" s="4">
        <v>20237</v>
      </c>
      <c r="C31" s="4"/>
      <c r="D31" s="3" t="s">
        <v>33</v>
      </c>
      <c r="E31" s="3" t="s">
        <v>15</v>
      </c>
      <c r="F31" s="4" t="s">
        <v>346</v>
      </c>
      <c r="G31" s="3" t="s">
        <v>3</v>
      </c>
      <c r="H31" s="3" t="s">
        <v>755</v>
      </c>
      <c r="I31" s="5">
        <v>27.75</v>
      </c>
      <c r="J31" s="23">
        <f t="shared" si="0"/>
        <v>27.75</v>
      </c>
      <c r="K31" s="561"/>
    </row>
    <row r="32" spans="1:11" ht="12" customHeight="1" thickBot="1" x14ac:dyDescent="0.25">
      <c r="A32" s="84" t="s">
        <v>0</v>
      </c>
      <c r="B32" s="24">
        <v>20238</v>
      </c>
      <c r="C32" s="24"/>
      <c r="D32" s="25" t="s">
        <v>34</v>
      </c>
      <c r="E32" s="25" t="s">
        <v>17</v>
      </c>
      <c r="F32" s="24" t="s">
        <v>346</v>
      </c>
      <c r="G32" s="25" t="s">
        <v>3</v>
      </c>
      <c r="H32" s="25" t="s">
        <v>755</v>
      </c>
      <c r="I32" s="5">
        <v>24.75</v>
      </c>
      <c r="J32" s="23">
        <f t="shared" si="0"/>
        <v>24.75</v>
      </c>
      <c r="K32" s="561"/>
    </row>
    <row r="33" spans="1:11" ht="12" customHeight="1" x14ac:dyDescent="0.2">
      <c r="A33" s="101" t="s">
        <v>783</v>
      </c>
      <c r="B33" s="102"/>
      <c r="C33" s="102"/>
      <c r="D33" s="102"/>
      <c r="E33" s="102"/>
      <c r="F33" s="102"/>
      <c r="G33" s="102"/>
      <c r="H33" s="102"/>
      <c r="I33" s="102"/>
      <c r="J33" s="103"/>
      <c r="K33" s="561"/>
    </row>
    <row r="34" spans="1:11" ht="12" customHeight="1" x14ac:dyDescent="0.2">
      <c r="A34" s="85" t="s">
        <v>0</v>
      </c>
      <c r="B34" s="7">
        <v>20261</v>
      </c>
      <c r="C34" s="7"/>
      <c r="D34" s="6" t="s">
        <v>35</v>
      </c>
      <c r="E34" s="6" t="s">
        <v>36</v>
      </c>
      <c r="F34" s="7" t="s">
        <v>347</v>
      </c>
      <c r="G34" s="6" t="s">
        <v>3</v>
      </c>
      <c r="H34" s="6" t="s">
        <v>758</v>
      </c>
      <c r="I34" s="8">
        <v>20</v>
      </c>
      <c r="J34" s="19">
        <f t="shared" ref="J34:J57" si="1">IF(I34="on request","on request",IF(F34="Box",I34*(100%-$C$3),IF(F34="License",I34*(100%-$C$4),IF(F34="Renewal",I34*(100%-$C$5),IF(F34="ESD",I34*(100%-$C$3),I34)))))</f>
        <v>20</v>
      </c>
      <c r="K34" s="561"/>
    </row>
    <row r="35" spans="1:11" ht="12" customHeight="1" x14ac:dyDescent="0.2">
      <c r="A35" s="85" t="s">
        <v>0</v>
      </c>
      <c r="B35" s="7">
        <v>20262</v>
      </c>
      <c r="C35" s="7"/>
      <c r="D35" s="6" t="s">
        <v>37</v>
      </c>
      <c r="E35" s="6" t="s">
        <v>38</v>
      </c>
      <c r="F35" s="7" t="s">
        <v>347</v>
      </c>
      <c r="G35" s="6" t="s">
        <v>3</v>
      </c>
      <c r="H35" s="6" t="s">
        <v>758</v>
      </c>
      <c r="I35" s="8">
        <v>19.600000000000001</v>
      </c>
      <c r="J35" s="19">
        <f t="shared" si="1"/>
        <v>19.600000000000001</v>
      </c>
      <c r="K35" s="561"/>
    </row>
    <row r="36" spans="1:11" ht="12" customHeight="1" x14ac:dyDescent="0.2">
      <c r="A36" s="85" t="s">
        <v>0</v>
      </c>
      <c r="B36" s="7">
        <v>20263</v>
      </c>
      <c r="C36" s="7"/>
      <c r="D36" s="6" t="s">
        <v>39</v>
      </c>
      <c r="E36" s="6" t="s">
        <v>40</v>
      </c>
      <c r="F36" s="7" t="s">
        <v>347</v>
      </c>
      <c r="G36" s="6" t="s">
        <v>3</v>
      </c>
      <c r="H36" s="6" t="s">
        <v>758</v>
      </c>
      <c r="I36" s="8">
        <v>16.48</v>
      </c>
      <c r="J36" s="19">
        <f t="shared" si="1"/>
        <v>16.48</v>
      </c>
      <c r="K36" s="561"/>
    </row>
    <row r="37" spans="1:11" ht="12" customHeight="1" x14ac:dyDescent="0.2">
      <c r="A37" s="85" t="s">
        <v>0</v>
      </c>
      <c r="B37" s="7">
        <v>20264</v>
      </c>
      <c r="C37" s="7"/>
      <c r="D37" s="6" t="s">
        <v>41</v>
      </c>
      <c r="E37" s="6" t="s">
        <v>42</v>
      </c>
      <c r="F37" s="7" t="s">
        <v>347</v>
      </c>
      <c r="G37" s="6" t="s">
        <v>3</v>
      </c>
      <c r="H37" s="6" t="s">
        <v>758</v>
      </c>
      <c r="I37" s="8">
        <v>15.440000000000001</v>
      </c>
      <c r="J37" s="19">
        <f t="shared" si="1"/>
        <v>15.440000000000001</v>
      </c>
      <c r="K37" s="561"/>
    </row>
    <row r="38" spans="1:11" ht="12" customHeight="1" x14ac:dyDescent="0.2">
      <c r="A38" s="85" t="s">
        <v>0</v>
      </c>
      <c r="B38" s="7">
        <v>20265</v>
      </c>
      <c r="C38" s="7"/>
      <c r="D38" s="6" t="s">
        <v>43</v>
      </c>
      <c r="E38" s="6" t="s">
        <v>44</v>
      </c>
      <c r="F38" s="7" t="s">
        <v>347</v>
      </c>
      <c r="G38" s="6" t="s">
        <v>3</v>
      </c>
      <c r="H38" s="6" t="s">
        <v>758</v>
      </c>
      <c r="I38" s="8">
        <v>12.520000000000001</v>
      </c>
      <c r="J38" s="19">
        <f t="shared" si="1"/>
        <v>12.520000000000001</v>
      </c>
      <c r="K38" s="561"/>
    </row>
    <row r="39" spans="1:11" ht="12" customHeight="1" x14ac:dyDescent="0.2">
      <c r="A39" s="85" t="s">
        <v>0</v>
      </c>
      <c r="B39" s="7">
        <v>20266</v>
      </c>
      <c r="C39" s="7"/>
      <c r="D39" s="6" t="s">
        <v>45</v>
      </c>
      <c r="E39" s="6" t="s">
        <v>46</v>
      </c>
      <c r="F39" s="7" t="s">
        <v>347</v>
      </c>
      <c r="G39" s="6" t="s">
        <v>3</v>
      </c>
      <c r="H39" s="6" t="s">
        <v>758</v>
      </c>
      <c r="I39" s="8">
        <v>9.8079999999999998</v>
      </c>
      <c r="J39" s="19">
        <f t="shared" si="1"/>
        <v>9.8079999999999998</v>
      </c>
      <c r="K39" s="561"/>
    </row>
    <row r="40" spans="1:11" ht="12" customHeight="1" x14ac:dyDescent="0.2">
      <c r="A40" s="85" t="s">
        <v>0</v>
      </c>
      <c r="B40" s="7">
        <v>20267</v>
      </c>
      <c r="C40" s="7"/>
      <c r="D40" s="6" t="s">
        <v>47</v>
      </c>
      <c r="E40" s="6" t="s">
        <v>48</v>
      </c>
      <c r="F40" s="7" t="s">
        <v>347</v>
      </c>
      <c r="G40" s="6" t="s">
        <v>3</v>
      </c>
      <c r="H40" s="6" t="s">
        <v>758</v>
      </c>
      <c r="I40" s="8">
        <v>8.5040000000000013</v>
      </c>
      <c r="J40" s="19">
        <f t="shared" si="1"/>
        <v>8.5040000000000013</v>
      </c>
      <c r="K40" s="561"/>
    </row>
    <row r="41" spans="1:11" ht="12" customHeight="1" x14ac:dyDescent="0.2">
      <c r="A41" s="85" t="s">
        <v>0</v>
      </c>
      <c r="B41" s="7">
        <v>20268</v>
      </c>
      <c r="C41" s="7"/>
      <c r="D41" s="6" t="s">
        <v>49</v>
      </c>
      <c r="E41" s="6" t="s">
        <v>50</v>
      </c>
      <c r="F41" s="7" t="s">
        <v>347</v>
      </c>
      <c r="G41" s="6" t="s">
        <v>3</v>
      </c>
      <c r="H41" s="6" t="s">
        <v>758</v>
      </c>
      <c r="I41" s="8">
        <v>7.28</v>
      </c>
      <c r="J41" s="19">
        <f t="shared" si="1"/>
        <v>7.28</v>
      </c>
      <c r="K41" s="561"/>
    </row>
    <row r="42" spans="1:11" ht="12" customHeight="1" x14ac:dyDescent="0.2">
      <c r="A42" s="85" t="s">
        <v>0</v>
      </c>
      <c r="B42" s="7">
        <v>20271</v>
      </c>
      <c r="C42" s="7"/>
      <c r="D42" s="6" t="s">
        <v>51</v>
      </c>
      <c r="E42" s="6" t="s">
        <v>36</v>
      </c>
      <c r="F42" s="7" t="s">
        <v>347</v>
      </c>
      <c r="G42" s="6" t="s">
        <v>3</v>
      </c>
      <c r="H42" s="6" t="s">
        <v>759</v>
      </c>
      <c r="I42" s="8">
        <v>35</v>
      </c>
      <c r="J42" s="19">
        <f t="shared" si="1"/>
        <v>35</v>
      </c>
      <c r="K42" s="561"/>
    </row>
    <row r="43" spans="1:11" ht="12" customHeight="1" x14ac:dyDescent="0.2">
      <c r="A43" s="85" t="s">
        <v>0</v>
      </c>
      <c r="B43" s="7">
        <v>20272</v>
      </c>
      <c r="C43" s="7"/>
      <c r="D43" s="6" t="s">
        <v>52</v>
      </c>
      <c r="E43" s="6" t="s">
        <v>38</v>
      </c>
      <c r="F43" s="7" t="s">
        <v>347</v>
      </c>
      <c r="G43" s="6" t="s">
        <v>3</v>
      </c>
      <c r="H43" s="6" t="s">
        <v>759</v>
      </c>
      <c r="I43" s="8">
        <v>34.300000000000004</v>
      </c>
      <c r="J43" s="19">
        <f t="shared" si="1"/>
        <v>34.300000000000004</v>
      </c>
      <c r="K43" s="561"/>
    </row>
    <row r="44" spans="1:11" ht="12" customHeight="1" x14ac:dyDescent="0.2">
      <c r="A44" s="85" t="s">
        <v>0</v>
      </c>
      <c r="B44" s="7">
        <v>20273</v>
      </c>
      <c r="C44" s="7"/>
      <c r="D44" s="6" t="s">
        <v>53</v>
      </c>
      <c r="E44" s="6" t="s">
        <v>40</v>
      </c>
      <c r="F44" s="7" t="s">
        <v>347</v>
      </c>
      <c r="G44" s="6" t="s">
        <v>3</v>
      </c>
      <c r="H44" s="6" t="s">
        <v>759</v>
      </c>
      <c r="I44" s="8">
        <v>28.840000000000003</v>
      </c>
      <c r="J44" s="19">
        <f t="shared" si="1"/>
        <v>28.840000000000003</v>
      </c>
      <c r="K44" s="561"/>
    </row>
    <row r="45" spans="1:11" ht="12" customHeight="1" x14ac:dyDescent="0.2">
      <c r="A45" s="85" t="s">
        <v>0</v>
      </c>
      <c r="B45" s="7">
        <v>20274</v>
      </c>
      <c r="C45" s="7"/>
      <c r="D45" s="6" t="s">
        <v>54</v>
      </c>
      <c r="E45" s="6" t="s">
        <v>42</v>
      </c>
      <c r="F45" s="7" t="s">
        <v>347</v>
      </c>
      <c r="G45" s="6" t="s">
        <v>3</v>
      </c>
      <c r="H45" s="6" t="s">
        <v>759</v>
      </c>
      <c r="I45" s="8">
        <v>27.02</v>
      </c>
      <c r="J45" s="19">
        <f t="shared" si="1"/>
        <v>27.02</v>
      </c>
      <c r="K45" s="561"/>
    </row>
    <row r="46" spans="1:11" ht="12" customHeight="1" x14ac:dyDescent="0.2">
      <c r="A46" s="85" t="s">
        <v>0</v>
      </c>
      <c r="B46" s="7">
        <v>20275</v>
      </c>
      <c r="C46" s="7"/>
      <c r="D46" s="6" t="s">
        <v>55</v>
      </c>
      <c r="E46" s="6" t="s">
        <v>44</v>
      </c>
      <c r="F46" s="7" t="s">
        <v>347</v>
      </c>
      <c r="G46" s="6" t="s">
        <v>3</v>
      </c>
      <c r="H46" s="6" t="s">
        <v>759</v>
      </c>
      <c r="I46" s="8">
        <v>21.91</v>
      </c>
      <c r="J46" s="19">
        <f t="shared" si="1"/>
        <v>21.91</v>
      </c>
      <c r="K46" s="561"/>
    </row>
    <row r="47" spans="1:11" ht="12" customHeight="1" x14ac:dyDescent="0.2">
      <c r="A47" s="85" t="s">
        <v>0</v>
      </c>
      <c r="B47" s="7">
        <v>20276</v>
      </c>
      <c r="C47" s="7"/>
      <c r="D47" s="6" t="s">
        <v>442</v>
      </c>
      <c r="E47" s="6" t="s">
        <v>46</v>
      </c>
      <c r="F47" s="7" t="s">
        <v>347</v>
      </c>
      <c r="G47" s="6" t="s">
        <v>3</v>
      </c>
      <c r="H47" s="6" t="s">
        <v>759</v>
      </c>
      <c r="I47" s="8">
        <v>17.163999999999998</v>
      </c>
      <c r="J47" s="19">
        <f t="shared" si="1"/>
        <v>17.163999999999998</v>
      </c>
      <c r="K47" s="561"/>
    </row>
    <row r="48" spans="1:11" ht="12" customHeight="1" x14ac:dyDescent="0.2">
      <c r="A48" s="85" t="s">
        <v>0</v>
      </c>
      <c r="B48" s="7">
        <v>20277</v>
      </c>
      <c r="C48" s="7"/>
      <c r="D48" s="6" t="s">
        <v>443</v>
      </c>
      <c r="E48" s="6" t="s">
        <v>48</v>
      </c>
      <c r="F48" s="7" t="s">
        <v>347</v>
      </c>
      <c r="G48" s="6" t="s">
        <v>3</v>
      </c>
      <c r="H48" s="6" t="s">
        <v>759</v>
      </c>
      <c r="I48" s="8">
        <v>14.882000000000003</v>
      </c>
      <c r="J48" s="19">
        <f t="shared" si="1"/>
        <v>14.882000000000003</v>
      </c>
      <c r="K48" s="561"/>
    </row>
    <row r="49" spans="1:11" ht="12" customHeight="1" x14ac:dyDescent="0.2">
      <c r="A49" s="85" t="s">
        <v>0</v>
      </c>
      <c r="B49" s="7">
        <v>20278</v>
      </c>
      <c r="C49" s="7"/>
      <c r="D49" s="6" t="s">
        <v>444</v>
      </c>
      <c r="E49" s="6" t="s">
        <v>50</v>
      </c>
      <c r="F49" s="7" t="s">
        <v>347</v>
      </c>
      <c r="G49" s="6" t="s">
        <v>3</v>
      </c>
      <c r="H49" s="6" t="s">
        <v>759</v>
      </c>
      <c r="I49" s="8">
        <v>13.52</v>
      </c>
      <c r="J49" s="19">
        <f t="shared" si="1"/>
        <v>13.52</v>
      </c>
      <c r="K49" s="561"/>
    </row>
    <row r="50" spans="1:11" ht="12" customHeight="1" x14ac:dyDescent="0.2">
      <c r="A50" s="85" t="s">
        <v>0</v>
      </c>
      <c r="B50" s="7">
        <v>20281</v>
      </c>
      <c r="C50" s="7"/>
      <c r="D50" s="6" t="s">
        <v>56</v>
      </c>
      <c r="E50" s="6" t="s">
        <v>36</v>
      </c>
      <c r="F50" s="7" t="s">
        <v>347</v>
      </c>
      <c r="G50" s="6" t="s">
        <v>3</v>
      </c>
      <c r="H50" s="6" t="s">
        <v>760</v>
      </c>
      <c r="I50" s="8">
        <v>50</v>
      </c>
      <c r="J50" s="19">
        <f t="shared" si="1"/>
        <v>50</v>
      </c>
    </row>
    <row r="51" spans="1:11" ht="12" customHeight="1" x14ac:dyDescent="0.2">
      <c r="A51" s="85" t="s">
        <v>0</v>
      </c>
      <c r="B51" s="7">
        <v>20282</v>
      </c>
      <c r="C51" s="7"/>
      <c r="D51" s="6" t="s">
        <v>57</v>
      </c>
      <c r="E51" s="6" t="s">
        <v>38</v>
      </c>
      <c r="F51" s="7" t="s">
        <v>347</v>
      </c>
      <c r="G51" s="6" t="s">
        <v>3</v>
      </c>
      <c r="H51" s="6" t="s">
        <v>760</v>
      </c>
      <c r="I51" s="8">
        <v>49</v>
      </c>
      <c r="J51" s="19">
        <f t="shared" si="1"/>
        <v>49</v>
      </c>
    </row>
    <row r="52" spans="1:11" ht="12" customHeight="1" x14ac:dyDescent="0.2">
      <c r="A52" s="85" t="s">
        <v>0</v>
      </c>
      <c r="B52" s="7">
        <v>20283</v>
      </c>
      <c r="C52" s="7"/>
      <c r="D52" s="6" t="s">
        <v>58</v>
      </c>
      <c r="E52" s="6" t="s">
        <v>40</v>
      </c>
      <c r="F52" s="7" t="s">
        <v>347</v>
      </c>
      <c r="G52" s="6" t="s">
        <v>3</v>
      </c>
      <c r="H52" s="6" t="s">
        <v>760</v>
      </c>
      <c r="I52" s="8">
        <v>41.2</v>
      </c>
      <c r="J52" s="19">
        <f t="shared" si="1"/>
        <v>41.2</v>
      </c>
    </row>
    <row r="53" spans="1:11" ht="12" customHeight="1" x14ac:dyDescent="0.2">
      <c r="A53" s="85" t="s">
        <v>0</v>
      </c>
      <c r="B53" s="7">
        <v>20284</v>
      </c>
      <c r="C53" s="7"/>
      <c r="D53" s="6" t="s">
        <v>59</v>
      </c>
      <c r="E53" s="6" t="s">
        <v>42</v>
      </c>
      <c r="F53" s="7" t="s">
        <v>347</v>
      </c>
      <c r="G53" s="6" t="s">
        <v>3</v>
      </c>
      <c r="H53" s="6" t="s">
        <v>760</v>
      </c>
      <c r="I53" s="8">
        <v>38.6</v>
      </c>
      <c r="J53" s="19">
        <f t="shared" si="1"/>
        <v>38.6</v>
      </c>
    </row>
    <row r="54" spans="1:11" ht="12" customHeight="1" x14ac:dyDescent="0.2">
      <c r="A54" s="85" t="s">
        <v>0</v>
      </c>
      <c r="B54" s="7">
        <v>20285</v>
      </c>
      <c r="C54" s="7"/>
      <c r="D54" s="6" t="s">
        <v>60</v>
      </c>
      <c r="E54" s="6" t="s">
        <v>44</v>
      </c>
      <c r="F54" s="7" t="s">
        <v>347</v>
      </c>
      <c r="G54" s="6" t="s">
        <v>3</v>
      </c>
      <c r="H54" s="6" t="s">
        <v>760</v>
      </c>
      <c r="I54" s="8">
        <v>31.3</v>
      </c>
      <c r="J54" s="19">
        <f t="shared" si="1"/>
        <v>31.3</v>
      </c>
    </row>
    <row r="55" spans="1:11" ht="12" customHeight="1" x14ac:dyDescent="0.2">
      <c r="A55" s="85" t="s">
        <v>0</v>
      </c>
      <c r="B55" s="7">
        <v>20286</v>
      </c>
      <c r="C55" s="7"/>
      <c r="D55" s="6" t="s">
        <v>445</v>
      </c>
      <c r="E55" s="6" t="s">
        <v>46</v>
      </c>
      <c r="F55" s="7" t="s">
        <v>347</v>
      </c>
      <c r="G55" s="6" t="s">
        <v>3</v>
      </c>
      <c r="H55" s="6" t="s">
        <v>760</v>
      </c>
      <c r="I55" s="8">
        <v>24.52</v>
      </c>
      <c r="J55" s="19">
        <f t="shared" si="1"/>
        <v>24.52</v>
      </c>
    </row>
    <row r="56" spans="1:11" ht="12" customHeight="1" x14ac:dyDescent="0.2">
      <c r="A56" s="85" t="s">
        <v>0</v>
      </c>
      <c r="B56" s="7">
        <v>20287</v>
      </c>
      <c r="C56" s="7"/>
      <c r="D56" s="6" t="s">
        <v>446</v>
      </c>
      <c r="E56" s="6" t="s">
        <v>48</v>
      </c>
      <c r="F56" s="7" t="s">
        <v>347</v>
      </c>
      <c r="G56" s="6" t="s">
        <v>3</v>
      </c>
      <c r="H56" s="6" t="s">
        <v>760</v>
      </c>
      <c r="I56" s="8">
        <v>21.260000000000005</v>
      </c>
      <c r="J56" s="19">
        <f t="shared" si="1"/>
        <v>21.260000000000005</v>
      </c>
    </row>
    <row r="57" spans="1:11" ht="12" customHeight="1" thickBot="1" x14ac:dyDescent="0.25">
      <c r="A57" s="90" t="s">
        <v>0</v>
      </c>
      <c r="B57" s="34">
        <v>20288</v>
      </c>
      <c r="C57" s="34"/>
      <c r="D57" s="33" t="s">
        <v>447</v>
      </c>
      <c r="E57" s="33" t="s">
        <v>50</v>
      </c>
      <c r="F57" s="34" t="s">
        <v>347</v>
      </c>
      <c r="G57" s="33" t="s">
        <v>3</v>
      </c>
      <c r="H57" s="33" t="s">
        <v>760</v>
      </c>
      <c r="I57" s="423">
        <v>18.2</v>
      </c>
      <c r="J57" s="38">
        <f t="shared" si="1"/>
        <v>18.2</v>
      </c>
    </row>
    <row r="58" spans="1:11" ht="12" customHeight="1" x14ac:dyDescent="0.2">
      <c r="A58" s="113" t="s">
        <v>946</v>
      </c>
      <c r="B58" s="114"/>
      <c r="C58" s="114"/>
      <c r="D58" s="114"/>
      <c r="E58" s="114"/>
      <c r="F58" s="114"/>
      <c r="G58" s="114"/>
      <c r="H58" s="114"/>
      <c r="I58" s="114"/>
      <c r="J58" s="115"/>
    </row>
    <row r="59" spans="1:11" ht="12" customHeight="1" x14ac:dyDescent="0.2">
      <c r="A59" s="83" t="s">
        <v>0</v>
      </c>
      <c r="B59" s="4">
        <v>20311</v>
      </c>
      <c r="C59" s="4"/>
      <c r="D59" s="3" t="s">
        <v>61</v>
      </c>
      <c r="E59" s="3" t="s">
        <v>2</v>
      </c>
      <c r="F59" s="4" t="s">
        <v>346</v>
      </c>
      <c r="G59" s="3" t="s">
        <v>947</v>
      </c>
      <c r="H59" s="3" t="s">
        <v>752</v>
      </c>
      <c r="I59" s="5">
        <v>45</v>
      </c>
      <c r="J59" s="23">
        <f t="shared" ref="J59:J82" si="2">IF(I59="on request","on request",IF(F59="Box",I59*(100%-$C$3),IF(F59="License",I59*(100%-$C$4),IF(F59="Renewal",I59*(100%-$C$5),IF(F59="ESD",I59*(100%-$C$3),I59)))))</f>
        <v>45</v>
      </c>
      <c r="K59" s="561"/>
    </row>
    <row r="60" spans="1:11" ht="12" customHeight="1" x14ac:dyDescent="0.2">
      <c r="A60" s="83" t="s">
        <v>0</v>
      </c>
      <c r="B60" s="4">
        <v>20312</v>
      </c>
      <c r="C60" s="4"/>
      <c r="D60" s="3" t="s">
        <v>62</v>
      </c>
      <c r="E60" s="3" t="s">
        <v>5</v>
      </c>
      <c r="F60" s="4" t="s">
        <v>346</v>
      </c>
      <c r="G60" s="3" t="s">
        <v>947</v>
      </c>
      <c r="H60" s="3" t="s">
        <v>752</v>
      </c>
      <c r="I60" s="5">
        <v>37.799999999999997</v>
      </c>
      <c r="J60" s="23">
        <f t="shared" si="2"/>
        <v>37.799999999999997</v>
      </c>
      <c r="K60" s="561"/>
    </row>
    <row r="61" spans="1:11" ht="12" customHeight="1" x14ac:dyDescent="0.2">
      <c r="A61" s="83" t="s">
        <v>0</v>
      </c>
      <c r="B61" s="4">
        <v>20313</v>
      </c>
      <c r="C61" s="4"/>
      <c r="D61" s="3" t="s">
        <v>63</v>
      </c>
      <c r="E61" s="3" t="s">
        <v>7</v>
      </c>
      <c r="F61" s="4" t="s">
        <v>346</v>
      </c>
      <c r="G61" s="3" t="s">
        <v>947</v>
      </c>
      <c r="H61" s="3" t="s">
        <v>752</v>
      </c>
      <c r="I61" s="5">
        <v>30.15</v>
      </c>
      <c r="J61" s="23">
        <f t="shared" si="2"/>
        <v>30.15</v>
      </c>
      <c r="K61" s="561"/>
    </row>
    <row r="62" spans="1:11" ht="12" customHeight="1" x14ac:dyDescent="0.2">
      <c r="A62" s="83" t="s">
        <v>0</v>
      </c>
      <c r="B62" s="4">
        <v>20314</v>
      </c>
      <c r="C62" s="4"/>
      <c r="D62" s="3" t="s">
        <v>64</v>
      </c>
      <c r="E62" s="3" t="s">
        <v>9</v>
      </c>
      <c r="F62" s="4" t="s">
        <v>346</v>
      </c>
      <c r="G62" s="3" t="s">
        <v>947</v>
      </c>
      <c r="H62" s="3" t="s">
        <v>752</v>
      </c>
      <c r="I62" s="5">
        <v>23.4</v>
      </c>
      <c r="J62" s="23">
        <f t="shared" si="2"/>
        <v>23.4</v>
      </c>
      <c r="K62" s="561"/>
    </row>
    <row r="63" spans="1:11" ht="12" customHeight="1" x14ac:dyDescent="0.2">
      <c r="A63" s="83" t="s">
        <v>0</v>
      </c>
      <c r="B63" s="4">
        <v>20315</v>
      </c>
      <c r="C63" s="4"/>
      <c r="D63" s="3" t="s">
        <v>65</v>
      </c>
      <c r="E63" s="3" t="s">
        <v>11</v>
      </c>
      <c r="F63" s="4" t="s">
        <v>346</v>
      </c>
      <c r="G63" s="3" t="s">
        <v>947</v>
      </c>
      <c r="H63" s="3" t="s">
        <v>752</v>
      </c>
      <c r="I63" s="5">
        <v>20.7</v>
      </c>
      <c r="J63" s="23">
        <f t="shared" si="2"/>
        <v>20.7</v>
      </c>
      <c r="K63" s="561"/>
    </row>
    <row r="64" spans="1:11" ht="12" customHeight="1" x14ac:dyDescent="0.2">
      <c r="A64" s="83" t="s">
        <v>0</v>
      </c>
      <c r="B64" s="4">
        <v>20316</v>
      </c>
      <c r="C64" s="4"/>
      <c r="D64" s="3" t="s">
        <v>66</v>
      </c>
      <c r="E64" s="3" t="s">
        <v>13</v>
      </c>
      <c r="F64" s="4" t="s">
        <v>346</v>
      </c>
      <c r="G64" s="3" t="s">
        <v>947</v>
      </c>
      <c r="H64" s="3" t="s">
        <v>752</v>
      </c>
      <c r="I64" s="5">
        <v>18</v>
      </c>
      <c r="J64" s="23">
        <f t="shared" si="2"/>
        <v>18</v>
      </c>
      <c r="K64" s="561"/>
    </row>
    <row r="65" spans="1:11" ht="12" customHeight="1" x14ac:dyDescent="0.2">
      <c r="A65" s="83" t="s">
        <v>0</v>
      </c>
      <c r="B65" s="4">
        <v>20317</v>
      </c>
      <c r="C65" s="4"/>
      <c r="D65" s="3" t="s">
        <v>67</v>
      </c>
      <c r="E65" s="3" t="s">
        <v>15</v>
      </c>
      <c r="F65" s="4" t="s">
        <v>346</v>
      </c>
      <c r="G65" s="3" t="s">
        <v>947</v>
      </c>
      <c r="H65" s="3" t="s">
        <v>752</v>
      </c>
      <c r="I65" s="5">
        <v>16.2</v>
      </c>
      <c r="J65" s="23">
        <f t="shared" si="2"/>
        <v>16.2</v>
      </c>
      <c r="K65" s="561"/>
    </row>
    <row r="66" spans="1:11" ht="12" customHeight="1" x14ac:dyDescent="0.2">
      <c r="A66" s="83" t="s">
        <v>0</v>
      </c>
      <c r="B66" s="4">
        <v>20318</v>
      </c>
      <c r="C66" s="4"/>
      <c r="D66" s="3" t="s">
        <v>68</v>
      </c>
      <c r="E66" s="3" t="s">
        <v>17</v>
      </c>
      <c r="F66" s="4" t="s">
        <v>346</v>
      </c>
      <c r="G66" s="3" t="s">
        <v>947</v>
      </c>
      <c r="H66" s="3" t="s">
        <v>752</v>
      </c>
      <c r="I66" s="5">
        <v>14.399999999999999</v>
      </c>
      <c r="J66" s="23">
        <f t="shared" si="2"/>
        <v>14.399999999999999</v>
      </c>
      <c r="K66" s="561"/>
    </row>
    <row r="67" spans="1:11" ht="12" customHeight="1" x14ac:dyDescent="0.2">
      <c r="A67" s="83" t="s">
        <v>0</v>
      </c>
      <c r="B67" s="4">
        <v>20321</v>
      </c>
      <c r="C67" s="4"/>
      <c r="D67" s="3" t="s">
        <v>69</v>
      </c>
      <c r="E67" s="3" t="s">
        <v>2</v>
      </c>
      <c r="F67" s="4" t="s">
        <v>346</v>
      </c>
      <c r="G67" s="3" t="s">
        <v>947</v>
      </c>
      <c r="H67" s="3" t="s">
        <v>753</v>
      </c>
      <c r="I67" s="5">
        <v>63</v>
      </c>
      <c r="J67" s="23">
        <f t="shared" si="2"/>
        <v>63</v>
      </c>
      <c r="K67" s="561"/>
    </row>
    <row r="68" spans="1:11" ht="12" customHeight="1" x14ac:dyDescent="0.2">
      <c r="A68" s="83" t="s">
        <v>0</v>
      </c>
      <c r="B68" s="4">
        <v>20322</v>
      </c>
      <c r="C68" s="4"/>
      <c r="D68" s="3" t="s">
        <v>70</v>
      </c>
      <c r="E68" s="3" t="s">
        <v>5</v>
      </c>
      <c r="F68" s="4" t="s">
        <v>346</v>
      </c>
      <c r="G68" s="3" t="s">
        <v>947</v>
      </c>
      <c r="H68" s="3" t="s">
        <v>753</v>
      </c>
      <c r="I68" s="5">
        <v>55.8</v>
      </c>
      <c r="J68" s="23">
        <f t="shared" si="2"/>
        <v>55.8</v>
      </c>
      <c r="K68" s="561"/>
    </row>
    <row r="69" spans="1:11" ht="12" customHeight="1" x14ac:dyDescent="0.2">
      <c r="A69" s="83" t="s">
        <v>0</v>
      </c>
      <c r="B69" s="4">
        <v>20323</v>
      </c>
      <c r="C69" s="4"/>
      <c r="D69" s="3" t="s">
        <v>71</v>
      </c>
      <c r="E69" s="3" t="s">
        <v>7</v>
      </c>
      <c r="F69" s="4" t="s">
        <v>346</v>
      </c>
      <c r="G69" s="3" t="s">
        <v>947</v>
      </c>
      <c r="H69" s="3" t="s">
        <v>753</v>
      </c>
      <c r="I69" s="5">
        <v>43.199999999999996</v>
      </c>
      <c r="J69" s="23">
        <f t="shared" si="2"/>
        <v>43.199999999999996</v>
      </c>
      <c r="K69" s="561"/>
    </row>
    <row r="70" spans="1:11" ht="12" customHeight="1" x14ac:dyDescent="0.2">
      <c r="A70" s="83" t="s">
        <v>0</v>
      </c>
      <c r="B70" s="4">
        <v>20324</v>
      </c>
      <c r="C70" s="4"/>
      <c r="D70" s="3" t="s">
        <v>72</v>
      </c>
      <c r="E70" s="3" t="s">
        <v>9</v>
      </c>
      <c r="F70" s="4" t="s">
        <v>346</v>
      </c>
      <c r="G70" s="3" t="s">
        <v>947</v>
      </c>
      <c r="H70" s="3" t="s">
        <v>753</v>
      </c>
      <c r="I70" s="5">
        <v>36</v>
      </c>
      <c r="J70" s="23">
        <f t="shared" si="2"/>
        <v>36</v>
      </c>
      <c r="K70" s="561"/>
    </row>
    <row r="71" spans="1:11" ht="12" customHeight="1" x14ac:dyDescent="0.2">
      <c r="A71" s="83" t="s">
        <v>0</v>
      </c>
      <c r="B71" s="4">
        <v>20325</v>
      </c>
      <c r="C71" s="4"/>
      <c r="D71" s="3" t="s">
        <v>73</v>
      </c>
      <c r="E71" s="3" t="s">
        <v>11</v>
      </c>
      <c r="F71" s="4" t="s">
        <v>346</v>
      </c>
      <c r="G71" s="3" t="s">
        <v>947</v>
      </c>
      <c r="H71" s="3" t="s">
        <v>753</v>
      </c>
      <c r="I71" s="5">
        <v>31.5</v>
      </c>
      <c r="J71" s="23">
        <f t="shared" si="2"/>
        <v>31.5</v>
      </c>
      <c r="K71" s="561"/>
    </row>
    <row r="72" spans="1:11" ht="12" customHeight="1" x14ac:dyDescent="0.2">
      <c r="A72" s="83" t="s">
        <v>0</v>
      </c>
      <c r="B72" s="4">
        <v>20326</v>
      </c>
      <c r="C72" s="4"/>
      <c r="D72" s="3" t="s">
        <v>74</v>
      </c>
      <c r="E72" s="3" t="s">
        <v>13</v>
      </c>
      <c r="F72" s="4" t="s">
        <v>346</v>
      </c>
      <c r="G72" s="3" t="s">
        <v>947</v>
      </c>
      <c r="H72" s="3" t="s">
        <v>753</v>
      </c>
      <c r="I72" s="5">
        <v>27</v>
      </c>
      <c r="J72" s="23">
        <f t="shared" si="2"/>
        <v>27</v>
      </c>
      <c r="K72" s="561"/>
    </row>
    <row r="73" spans="1:11" ht="12" customHeight="1" x14ac:dyDescent="0.2">
      <c r="A73" s="83" t="s">
        <v>0</v>
      </c>
      <c r="B73" s="4">
        <v>20327</v>
      </c>
      <c r="C73" s="4"/>
      <c r="D73" s="3" t="s">
        <v>75</v>
      </c>
      <c r="E73" s="3" t="s">
        <v>15</v>
      </c>
      <c r="F73" s="4" t="s">
        <v>346</v>
      </c>
      <c r="G73" s="3" t="s">
        <v>947</v>
      </c>
      <c r="H73" s="3" t="s">
        <v>753</v>
      </c>
      <c r="I73" s="5">
        <v>24.299999999999997</v>
      </c>
      <c r="J73" s="23">
        <f t="shared" si="2"/>
        <v>24.299999999999997</v>
      </c>
      <c r="K73" s="561"/>
    </row>
    <row r="74" spans="1:11" ht="12" customHeight="1" x14ac:dyDescent="0.2">
      <c r="A74" s="83" t="s">
        <v>0</v>
      </c>
      <c r="B74" s="4">
        <v>20328</v>
      </c>
      <c r="C74" s="4"/>
      <c r="D74" s="3" t="s">
        <v>76</v>
      </c>
      <c r="E74" s="3" t="s">
        <v>17</v>
      </c>
      <c r="F74" s="4" t="s">
        <v>346</v>
      </c>
      <c r="G74" s="3" t="s">
        <v>947</v>
      </c>
      <c r="H74" s="3" t="s">
        <v>753</v>
      </c>
      <c r="I74" s="5">
        <v>22.5</v>
      </c>
      <c r="J74" s="23">
        <f t="shared" si="2"/>
        <v>22.5</v>
      </c>
      <c r="K74" s="561"/>
    </row>
    <row r="75" spans="1:11" ht="12" customHeight="1" x14ac:dyDescent="0.2">
      <c r="A75" s="83" t="s">
        <v>0</v>
      </c>
      <c r="B75" s="4">
        <v>20331</v>
      </c>
      <c r="C75" s="4"/>
      <c r="D75" s="3" t="s">
        <v>77</v>
      </c>
      <c r="E75" s="3" t="s">
        <v>2</v>
      </c>
      <c r="F75" s="4" t="s">
        <v>346</v>
      </c>
      <c r="G75" s="3" t="s">
        <v>947</v>
      </c>
      <c r="H75" s="3" t="s">
        <v>755</v>
      </c>
      <c r="I75" s="5">
        <v>80.099999999999994</v>
      </c>
      <c r="J75" s="23">
        <f t="shared" si="2"/>
        <v>80.099999999999994</v>
      </c>
      <c r="K75" s="561"/>
    </row>
    <row r="76" spans="1:11" ht="12" customHeight="1" x14ac:dyDescent="0.2">
      <c r="A76" s="83" t="s">
        <v>0</v>
      </c>
      <c r="B76" s="4">
        <v>20332</v>
      </c>
      <c r="C76" s="4"/>
      <c r="D76" s="3" t="s">
        <v>78</v>
      </c>
      <c r="E76" s="3" t="s">
        <v>5</v>
      </c>
      <c r="F76" s="4" t="s">
        <v>346</v>
      </c>
      <c r="G76" s="3" t="s">
        <v>947</v>
      </c>
      <c r="H76" s="3" t="s">
        <v>755</v>
      </c>
      <c r="I76" s="5">
        <v>71.099999999999994</v>
      </c>
      <c r="J76" s="23">
        <f t="shared" si="2"/>
        <v>71.099999999999994</v>
      </c>
      <c r="K76" s="561"/>
    </row>
    <row r="77" spans="1:11" ht="12" customHeight="1" x14ac:dyDescent="0.2">
      <c r="A77" s="83" t="s">
        <v>0</v>
      </c>
      <c r="B77" s="4">
        <v>20333</v>
      </c>
      <c r="C77" s="4"/>
      <c r="D77" s="3" t="s">
        <v>79</v>
      </c>
      <c r="E77" s="3" t="s">
        <v>7</v>
      </c>
      <c r="F77" s="4" t="s">
        <v>346</v>
      </c>
      <c r="G77" s="3" t="s">
        <v>947</v>
      </c>
      <c r="H77" s="3" t="s">
        <v>755</v>
      </c>
      <c r="I77" s="5">
        <v>61.199999999999996</v>
      </c>
      <c r="J77" s="23">
        <f t="shared" si="2"/>
        <v>61.199999999999996</v>
      </c>
      <c r="K77" s="561"/>
    </row>
    <row r="78" spans="1:11" ht="12" customHeight="1" x14ac:dyDescent="0.2">
      <c r="A78" s="83" t="s">
        <v>0</v>
      </c>
      <c r="B78" s="4">
        <v>20334</v>
      </c>
      <c r="C78" s="4"/>
      <c r="D78" s="3" t="s">
        <v>80</v>
      </c>
      <c r="E78" s="3" t="s">
        <v>9</v>
      </c>
      <c r="F78" s="4" t="s">
        <v>346</v>
      </c>
      <c r="G78" s="3" t="s">
        <v>947</v>
      </c>
      <c r="H78" s="3" t="s">
        <v>755</v>
      </c>
      <c r="I78" s="5">
        <v>52.199999999999996</v>
      </c>
      <c r="J78" s="23">
        <f t="shared" si="2"/>
        <v>52.199999999999996</v>
      </c>
      <c r="K78" s="561"/>
    </row>
    <row r="79" spans="1:11" ht="12" customHeight="1" x14ac:dyDescent="0.2">
      <c r="A79" s="83" t="s">
        <v>0</v>
      </c>
      <c r="B79" s="4">
        <v>20335</v>
      </c>
      <c r="C79" s="4"/>
      <c r="D79" s="3" t="s">
        <v>81</v>
      </c>
      <c r="E79" s="3" t="s">
        <v>11</v>
      </c>
      <c r="F79" s="4" t="s">
        <v>346</v>
      </c>
      <c r="G79" s="3" t="s">
        <v>947</v>
      </c>
      <c r="H79" s="3" t="s">
        <v>755</v>
      </c>
      <c r="I79" s="5">
        <v>44.099999999999994</v>
      </c>
      <c r="J79" s="23">
        <f t="shared" si="2"/>
        <v>44.099999999999994</v>
      </c>
      <c r="K79" s="561"/>
    </row>
    <row r="80" spans="1:11" ht="12" customHeight="1" x14ac:dyDescent="0.2">
      <c r="A80" s="83" t="s">
        <v>0</v>
      </c>
      <c r="B80" s="4">
        <v>20336</v>
      </c>
      <c r="C80" s="4"/>
      <c r="D80" s="3" t="s">
        <v>82</v>
      </c>
      <c r="E80" s="3" t="s">
        <v>13</v>
      </c>
      <c r="F80" s="4" t="s">
        <v>346</v>
      </c>
      <c r="G80" s="3" t="s">
        <v>947</v>
      </c>
      <c r="H80" s="3" t="s">
        <v>755</v>
      </c>
      <c r="I80" s="5">
        <v>36.9</v>
      </c>
      <c r="J80" s="23">
        <f t="shared" si="2"/>
        <v>36.9</v>
      </c>
      <c r="K80" s="561"/>
    </row>
    <row r="81" spans="1:11" ht="12" customHeight="1" x14ac:dyDescent="0.2">
      <c r="A81" s="83" t="s">
        <v>0</v>
      </c>
      <c r="B81" s="4">
        <v>20337</v>
      </c>
      <c r="C81" s="4"/>
      <c r="D81" s="3" t="s">
        <v>83</v>
      </c>
      <c r="E81" s="3" t="s">
        <v>15</v>
      </c>
      <c r="F81" s="4" t="s">
        <v>346</v>
      </c>
      <c r="G81" s="3" t="s">
        <v>947</v>
      </c>
      <c r="H81" s="3" t="s">
        <v>755</v>
      </c>
      <c r="I81" s="5">
        <v>33.299999999999997</v>
      </c>
      <c r="J81" s="23">
        <f t="shared" si="2"/>
        <v>33.299999999999997</v>
      </c>
      <c r="K81" s="561"/>
    </row>
    <row r="82" spans="1:11" ht="12" customHeight="1" thickBot="1" x14ac:dyDescent="0.25">
      <c r="A82" s="84" t="s">
        <v>0</v>
      </c>
      <c r="B82" s="24">
        <v>20338</v>
      </c>
      <c r="C82" s="24"/>
      <c r="D82" s="25" t="s">
        <v>84</v>
      </c>
      <c r="E82" s="25" t="s">
        <v>17</v>
      </c>
      <c r="F82" s="24" t="s">
        <v>346</v>
      </c>
      <c r="G82" s="25" t="s">
        <v>947</v>
      </c>
      <c r="H82" s="25" t="s">
        <v>755</v>
      </c>
      <c r="I82" s="5">
        <v>29.700000000000003</v>
      </c>
      <c r="J82" s="27">
        <f t="shared" si="2"/>
        <v>29.700000000000003</v>
      </c>
      <c r="K82" s="561"/>
    </row>
    <row r="83" spans="1:11" ht="12" customHeight="1" x14ac:dyDescent="0.2">
      <c r="A83" s="101" t="s">
        <v>948</v>
      </c>
      <c r="B83" s="102"/>
      <c r="C83" s="102"/>
      <c r="D83" s="102"/>
      <c r="E83" s="102"/>
      <c r="F83" s="102"/>
      <c r="G83" s="102"/>
      <c r="H83" s="102"/>
      <c r="I83" s="114"/>
      <c r="J83" s="103"/>
    </row>
    <row r="84" spans="1:11" ht="12" customHeight="1" x14ac:dyDescent="0.2">
      <c r="A84" s="85" t="s">
        <v>0</v>
      </c>
      <c r="B84" s="7">
        <v>20361</v>
      </c>
      <c r="C84" s="7"/>
      <c r="D84" s="6" t="s">
        <v>85</v>
      </c>
      <c r="E84" s="6" t="s">
        <v>36</v>
      </c>
      <c r="F84" s="7" t="s">
        <v>347</v>
      </c>
      <c r="G84" s="6" t="s">
        <v>947</v>
      </c>
      <c r="H84" s="6" t="s">
        <v>758</v>
      </c>
      <c r="I84" s="8">
        <v>24</v>
      </c>
      <c r="J84" s="19">
        <f t="shared" ref="J84:J107" si="3">IF(I84="on request","on request",IF(F84="Box",I84*(100%-$C$3),IF(F84="License",I84*(100%-$C$4),IF(F84="Renewal",I84*(100%-$C$5),IF(F84="ESD",I84*(100%-$C$3),I84)))))</f>
        <v>24</v>
      </c>
    </row>
    <row r="85" spans="1:11" ht="12" customHeight="1" x14ac:dyDescent="0.2">
      <c r="A85" s="85" t="s">
        <v>0</v>
      </c>
      <c r="B85" s="7">
        <v>20362</v>
      </c>
      <c r="C85" s="7"/>
      <c r="D85" s="6" t="s">
        <v>86</v>
      </c>
      <c r="E85" s="6" t="s">
        <v>38</v>
      </c>
      <c r="F85" s="7" t="s">
        <v>347</v>
      </c>
      <c r="G85" s="6" t="s">
        <v>947</v>
      </c>
      <c r="H85" s="6" t="s">
        <v>758</v>
      </c>
      <c r="I85" s="8">
        <v>23.52</v>
      </c>
      <c r="J85" s="19">
        <f t="shared" si="3"/>
        <v>23.52</v>
      </c>
    </row>
    <row r="86" spans="1:11" ht="12" customHeight="1" x14ac:dyDescent="0.2">
      <c r="A86" s="85" t="s">
        <v>0</v>
      </c>
      <c r="B86" s="7">
        <v>20363</v>
      </c>
      <c r="C86" s="7"/>
      <c r="D86" s="6" t="s">
        <v>87</v>
      </c>
      <c r="E86" s="6" t="s">
        <v>40</v>
      </c>
      <c r="F86" s="7" t="s">
        <v>347</v>
      </c>
      <c r="G86" s="6" t="s">
        <v>947</v>
      </c>
      <c r="H86" s="6" t="s">
        <v>758</v>
      </c>
      <c r="I86" s="8">
        <v>19.776000000000003</v>
      </c>
      <c r="J86" s="19">
        <f t="shared" si="3"/>
        <v>19.776000000000003</v>
      </c>
    </row>
    <row r="87" spans="1:11" ht="12" customHeight="1" x14ac:dyDescent="0.2">
      <c r="A87" s="85" t="s">
        <v>0</v>
      </c>
      <c r="B87" s="7">
        <v>20364</v>
      </c>
      <c r="C87" s="7"/>
      <c r="D87" s="6" t="s">
        <v>88</v>
      </c>
      <c r="E87" s="6" t="s">
        <v>42</v>
      </c>
      <c r="F87" s="7" t="s">
        <v>347</v>
      </c>
      <c r="G87" s="6" t="s">
        <v>947</v>
      </c>
      <c r="H87" s="6" t="s">
        <v>758</v>
      </c>
      <c r="I87" s="8">
        <v>18.528000000000002</v>
      </c>
      <c r="J87" s="19">
        <f t="shared" si="3"/>
        <v>18.528000000000002</v>
      </c>
    </row>
    <row r="88" spans="1:11" ht="12" customHeight="1" x14ac:dyDescent="0.2">
      <c r="A88" s="85" t="s">
        <v>0</v>
      </c>
      <c r="B88" s="7">
        <v>20365</v>
      </c>
      <c r="C88" s="7"/>
      <c r="D88" s="6" t="s">
        <v>89</v>
      </c>
      <c r="E88" s="6" t="s">
        <v>44</v>
      </c>
      <c r="F88" s="7" t="s">
        <v>347</v>
      </c>
      <c r="G88" s="6" t="s">
        <v>947</v>
      </c>
      <c r="H88" s="6" t="s">
        <v>758</v>
      </c>
      <c r="I88" s="8">
        <v>15.024000000000001</v>
      </c>
      <c r="J88" s="19">
        <f t="shared" si="3"/>
        <v>15.024000000000001</v>
      </c>
    </row>
    <row r="89" spans="1:11" ht="12" customHeight="1" x14ac:dyDescent="0.2">
      <c r="A89" s="85" t="s">
        <v>0</v>
      </c>
      <c r="B89" s="7">
        <v>20366</v>
      </c>
      <c r="C89" s="7"/>
      <c r="D89" s="6" t="s">
        <v>90</v>
      </c>
      <c r="E89" s="6" t="s">
        <v>46</v>
      </c>
      <c r="F89" s="7" t="s">
        <v>347</v>
      </c>
      <c r="G89" s="6" t="s">
        <v>947</v>
      </c>
      <c r="H89" s="6" t="s">
        <v>758</v>
      </c>
      <c r="I89" s="8">
        <v>11.769600000000001</v>
      </c>
      <c r="J89" s="19">
        <f t="shared" si="3"/>
        <v>11.769600000000001</v>
      </c>
    </row>
    <row r="90" spans="1:11" ht="12" customHeight="1" x14ac:dyDescent="0.2">
      <c r="A90" s="85" t="s">
        <v>0</v>
      </c>
      <c r="B90" s="7">
        <v>20367</v>
      </c>
      <c r="C90" s="7"/>
      <c r="D90" s="6" t="s">
        <v>91</v>
      </c>
      <c r="E90" s="6" t="s">
        <v>48</v>
      </c>
      <c r="F90" s="7" t="s">
        <v>347</v>
      </c>
      <c r="G90" s="6" t="s">
        <v>947</v>
      </c>
      <c r="H90" s="6" t="s">
        <v>758</v>
      </c>
      <c r="I90" s="8">
        <v>10.204800000000001</v>
      </c>
      <c r="J90" s="19">
        <f t="shared" si="3"/>
        <v>10.204800000000001</v>
      </c>
    </row>
    <row r="91" spans="1:11" ht="12" customHeight="1" x14ac:dyDescent="0.2">
      <c r="A91" s="85" t="s">
        <v>0</v>
      </c>
      <c r="B91" s="11">
        <v>20368</v>
      </c>
      <c r="C91" s="11"/>
      <c r="D91" s="6" t="s">
        <v>92</v>
      </c>
      <c r="E91" s="6" t="s">
        <v>50</v>
      </c>
      <c r="F91" s="7" t="s">
        <v>347</v>
      </c>
      <c r="G91" s="6" t="s">
        <v>947</v>
      </c>
      <c r="H91" s="6" t="s">
        <v>758</v>
      </c>
      <c r="I91" s="8">
        <v>8.7360000000000007</v>
      </c>
      <c r="J91" s="19">
        <f t="shared" si="3"/>
        <v>8.7360000000000007</v>
      </c>
    </row>
    <row r="92" spans="1:11" ht="12" customHeight="1" x14ac:dyDescent="0.2">
      <c r="A92" s="85" t="s">
        <v>0</v>
      </c>
      <c r="B92" s="7">
        <v>20371</v>
      </c>
      <c r="C92" s="7"/>
      <c r="D92" s="6" t="s">
        <v>93</v>
      </c>
      <c r="E92" s="6" t="s">
        <v>36</v>
      </c>
      <c r="F92" s="7" t="s">
        <v>347</v>
      </c>
      <c r="G92" s="6" t="s">
        <v>947</v>
      </c>
      <c r="H92" s="6" t="s">
        <v>759</v>
      </c>
      <c r="I92" s="8">
        <v>42</v>
      </c>
      <c r="J92" s="19">
        <f t="shared" si="3"/>
        <v>42</v>
      </c>
    </row>
    <row r="93" spans="1:11" ht="12" customHeight="1" x14ac:dyDescent="0.2">
      <c r="A93" s="85" t="s">
        <v>0</v>
      </c>
      <c r="B93" s="7">
        <v>20372</v>
      </c>
      <c r="C93" s="7"/>
      <c r="D93" s="6" t="s">
        <v>94</v>
      </c>
      <c r="E93" s="6" t="s">
        <v>38</v>
      </c>
      <c r="F93" s="7" t="s">
        <v>347</v>
      </c>
      <c r="G93" s="6" t="s">
        <v>947</v>
      </c>
      <c r="H93" s="6" t="s">
        <v>759</v>
      </c>
      <c r="I93" s="8">
        <v>41.16</v>
      </c>
      <c r="J93" s="19">
        <f t="shared" si="3"/>
        <v>41.16</v>
      </c>
    </row>
    <row r="94" spans="1:11" ht="12" customHeight="1" x14ac:dyDescent="0.2">
      <c r="A94" s="85" t="s">
        <v>0</v>
      </c>
      <c r="B94" s="7">
        <v>20373</v>
      </c>
      <c r="C94" s="7"/>
      <c r="D94" s="6" t="s">
        <v>95</v>
      </c>
      <c r="E94" s="6" t="s">
        <v>40</v>
      </c>
      <c r="F94" s="7" t="s">
        <v>347</v>
      </c>
      <c r="G94" s="6" t="s">
        <v>947</v>
      </c>
      <c r="H94" s="6" t="s">
        <v>759</v>
      </c>
      <c r="I94" s="8">
        <v>34.608000000000004</v>
      </c>
      <c r="J94" s="19">
        <f t="shared" si="3"/>
        <v>34.608000000000004</v>
      </c>
    </row>
    <row r="95" spans="1:11" ht="12" customHeight="1" x14ac:dyDescent="0.2">
      <c r="A95" s="85" t="s">
        <v>0</v>
      </c>
      <c r="B95" s="7">
        <v>20374</v>
      </c>
      <c r="C95" s="7"/>
      <c r="D95" s="6" t="s">
        <v>96</v>
      </c>
      <c r="E95" s="6" t="s">
        <v>42</v>
      </c>
      <c r="F95" s="7" t="s">
        <v>347</v>
      </c>
      <c r="G95" s="6" t="s">
        <v>947</v>
      </c>
      <c r="H95" s="6" t="s">
        <v>759</v>
      </c>
      <c r="I95" s="8">
        <v>32.423999999999999</v>
      </c>
      <c r="J95" s="19">
        <f t="shared" si="3"/>
        <v>32.423999999999999</v>
      </c>
    </row>
    <row r="96" spans="1:11" ht="12" customHeight="1" x14ac:dyDescent="0.2">
      <c r="A96" s="85" t="s">
        <v>0</v>
      </c>
      <c r="B96" s="7">
        <v>20375</v>
      </c>
      <c r="C96" s="7"/>
      <c r="D96" s="6" t="s">
        <v>97</v>
      </c>
      <c r="E96" s="6" t="s">
        <v>44</v>
      </c>
      <c r="F96" s="7" t="s">
        <v>347</v>
      </c>
      <c r="G96" s="6" t="s">
        <v>947</v>
      </c>
      <c r="H96" s="6" t="s">
        <v>759</v>
      </c>
      <c r="I96" s="8">
        <v>26.291999999999998</v>
      </c>
      <c r="J96" s="19">
        <f t="shared" si="3"/>
        <v>26.291999999999998</v>
      </c>
    </row>
    <row r="97" spans="1:11" ht="12" customHeight="1" x14ac:dyDescent="0.2">
      <c r="A97" s="85" t="s">
        <v>0</v>
      </c>
      <c r="B97" s="7">
        <v>20376</v>
      </c>
      <c r="C97" s="7"/>
      <c r="D97" s="6" t="s">
        <v>98</v>
      </c>
      <c r="E97" s="6" t="s">
        <v>46</v>
      </c>
      <c r="F97" s="7" t="s">
        <v>347</v>
      </c>
      <c r="G97" s="6" t="s">
        <v>947</v>
      </c>
      <c r="H97" s="6" t="s">
        <v>759</v>
      </c>
      <c r="I97" s="8">
        <v>20.596800000000002</v>
      </c>
      <c r="J97" s="19">
        <f t="shared" si="3"/>
        <v>20.596800000000002</v>
      </c>
    </row>
    <row r="98" spans="1:11" ht="12" customHeight="1" x14ac:dyDescent="0.2">
      <c r="A98" s="85" t="s">
        <v>0</v>
      </c>
      <c r="B98" s="7">
        <v>20377</v>
      </c>
      <c r="C98" s="7"/>
      <c r="D98" s="6" t="s">
        <v>99</v>
      </c>
      <c r="E98" s="6" t="s">
        <v>48</v>
      </c>
      <c r="F98" s="7" t="s">
        <v>347</v>
      </c>
      <c r="G98" s="6" t="s">
        <v>947</v>
      </c>
      <c r="H98" s="6" t="s">
        <v>759</v>
      </c>
      <c r="I98" s="8">
        <v>17.858400000000003</v>
      </c>
      <c r="J98" s="19">
        <f t="shared" si="3"/>
        <v>17.858400000000003</v>
      </c>
    </row>
    <row r="99" spans="1:11" ht="12" customHeight="1" x14ac:dyDescent="0.2">
      <c r="A99" s="85" t="s">
        <v>0</v>
      </c>
      <c r="B99" s="7">
        <v>20378</v>
      </c>
      <c r="C99" s="7"/>
      <c r="D99" s="6" t="s">
        <v>100</v>
      </c>
      <c r="E99" s="6" t="s">
        <v>50</v>
      </c>
      <c r="F99" s="7" t="s">
        <v>347</v>
      </c>
      <c r="G99" s="6" t="s">
        <v>947</v>
      </c>
      <c r="H99" s="6" t="s">
        <v>759</v>
      </c>
      <c r="I99" s="8">
        <v>16.224</v>
      </c>
      <c r="J99" s="19">
        <f t="shared" si="3"/>
        <v>16.224</v>
      </c>
    </row>
    <row r="100" spans="1:11" ht="12" customHeight="1" x14ac:dyDescent="0.2">
      <c r="A100" s="85" t="s">
        <v>0</v>
      </c>
      <c r="B100" s="7">
        <v>20381</v>
      </c>
      <c r="C100" s="7"/>
      <c r="D100" s="6" t="s">
        <v>101</v>
      </c>
      <c r="E100" s="6" t="s">
        <v>36</v>
      </c>
      <c r="F100" s="7" t="s">
        <v>347</v>
      </c>
      <c r="G100" s="6" t="s">
        <v>947</v>
      </c>
      <c r="H100" s="6" t="s">
        <v>760</v>
      </c>
      <c r="I100" s="8">
        <v>60</v>
      </c>
      <c r="J100" s="19">
        <f t="shared" si="3"/>
        <v>60</v>
      </c>
    </row>
    <row r="101" spans="1:11" ht="12" customHeight="1" x14ac:dyDescent="0.2">
      <c r="A101" s="85" t="s">
        <v>0</v>
      </c>
      <c r="B101" s="7">
        <v>20382</v>
      </c>
      <c r="C101" s="7"/>
      <c r="D101" s="6" t="s">
        <v>102</v>
      </c>
      <c r="E101" s="6" t="s">
        <v>38</v>
      </c>
      <c r="F101" s="7" t="s">
        <v>347</v>
      </c>
      <c r="G101" s="6" t="s">
        <v>947</v>
      </c>
      <c r="H101" s="6" t="s">
        <v>760</v>
      </c>
      <c r="I101" s="8">
        <v>58.800000000000004</v>
      </c>
      <c r="J101" s="19">
        <f t="shared" si="3"/>
        <v>58.800000000000004</v>
      </c>
    </row>
    <row r="102" spans="1:11" ht="12" customHeight="1" x14ac:dyDescent="0.2">
      <c r="A102" s="85" t="s">
        <v>0</v>
      </c>
      <c r="B102" s="7">
        <v>20383</v>
      </c>
      <c r="C102" s="7"/>
      <c r="D102" s="6" t="s">
        <v>103</v>
      </c>
      <c r="E102" s="6" t="s">
        <v>40</v>
      </c>
      <c r="F102" s="7" t="s">
        <v>347</v>
      </c>
      <c r="G102" s="6" t="s">
        <v>947</v>
      </c>
      <c r="H102" s="6" t="s">
        <v>760</v>
      </c>
      <c r="I102" s="8">
        <v>49.44</v>
      </c>
      <c r="J102" s="19">
        <f t="shared" si="3"/>
        <v>49.44</v>
      </c>
    </row>
    <row r="103" spans="1:11" ht="12" customHeight="1" x14ac:dyDescent="0.2">
      <c r="A103" s="85" t="s">
        <v>0</v>
      </c>
      <c r="B103" s="7">
        <v>20384</v>
      </c>
      <c r="C103" s="7"/>
      <c r="D103" s="6" t="s">
        <v>104</v>
      </c>
      <c r="E103" s="6" t="s">
        <v>42</v>
      </c>
      <c r="F103" s="7" t="s">
        <v>347</v>
      </c>
      <c r="G103" s="6" t="s">
        <v>947</v>
      </c>
      <c r="H103" s="6" t="s">
        <v>760</v>
      </c>
      <c r="I103" s="8">
        <v>46.32</v>
      </c>
      <c r="J103" s="19">
        <f t="shared" si="3"/>
        <v>46.32</v>
      </c>
    </row>
    <row r="104" spans="1:11" ht="12" customHeight="1" x14ac:dyDescent="0.2">
      <c r="A104" s="85" t="s">
        <v>0</v>
      </c>
      <c r="B104" s="7">
        <v>20385</v>
      </c>
      <c r="C104" s="7"/>
      <c r="D104" s="6" t="s">
        <v>105</v>
      </c>
      <c r="E104" s="6" t="s">
        <v>44</v>
      </c>
      <c r="F104" s="7" t="s">
        <v>347</v>
      </c>
      <c r="G104" s="6" t="s">
        <v>947</v>
      </c>
      <c r="H104" s="6" t="s">
        <v>760</v>
      </c>
      <c r="I104" s="8">
        <v>37.559999999999995</v>
      </c>
      <c r="J104" s="19">
        <f t="shared" si="3"/>
        <v>37.559999999999995</v>
      </c>
    </row>
    <row r="105" spans="1:11" ht="12" customHeight="1" x14ac:dyDescent="0.2">
      <c r="A105" s="85" t="s">
        <v>0</v>
      </c>
      <c r="B105" s="7">
        <v>20386</v>
      </c>
      <c r="C105" s="7"/>
      <c r="D105" s="6" t="s">
        <v>106</v>
      </c>
      <c r="E105" s="6" t="s">
        <v>46</v>
      </c>
      <c r="F105" s="7" t="s">
        <v>347</v>
      </c>
      <c r="G105" s="6" t="s">
        <v>947</v>
      </c>
      <c r="H105" s="6" t="s">
        <v>760</v>
      </c>
      <c r="I105" s="8">
        <v>29.423999999999996</v>
      </c>
      <c r="J105" s="19">
        <f t="shared" si="3"/>
        <v>29.423999999999996</v>
      </c>
    </row>
    <row r="106" spans="1:11" ht="12" customHeight="1" x14ac:dyDescent="0.2">
      <c r="A106" s="85" t="s">
        <v>0</v>
      </c>
      <c r="B106" s="7">
        <v>20387</v>
      </c>
      <c r="C106" s="7"/>
      <c r="D106" s="6" t="s">
        <v>107</v>
      </c>
      <c r="E106" s="6" t="s">
        <v>48</v>
      </c>
      <c r="F106" s="7" t="s">
        <v>347</v>
      </c>
      <c r="G106" s="6" t="s">
        <v>947</v>
      </c>
      <c r="H106" s="6" t="s">
        <v>760</v>
      </c>
      <c r="I106" s="8">
        <v>25.512</v>
      </c>
      <c r="J106" s="19">
        <f t="shared" si="3"/>
        <v>25.512</v>
      </c>
    </row>
    <row r="107" spans="1:11" ht="12" customHeight="1" thickBot="1" x14ac:dyDescent="0.25">
      <c r="A107" s="86" t="s">
        <v>0</v>
      </c>
      <c r="B107" s="20">
        <v>20388</v>
      </c>
      <c r="C107" s="20"/>
      <c r="D107" s="21" t="s">
        <v>108</v>
      </c>
      <c r="E107" s="21" t="s">
        <v>50</v>
      </c>
      <c r="F107" s="20" t="s">
        <v>347</v>
      </c>
      <c r="G107" s="21" t="s">
        <v>947</v>
      </c>
      <c r="H107" s="21" t="s">
        <v>760</v>
      </c>
      <c r="I107" s="423">
        <v>21.840000000000003</v>
      </c>
      <c r="J107" s="19">
        <f t="shared" si="3"/>
        <v>21.840000000000003</v>
      </c>
    </row>
    <row r="108" spans="1:11" ht="12" customHeight="1" x14ac:dyDescent="0.2">
      <c r="A108" s="101" t="s">
        <v>784</v>
      </c>
      <c r="B108" s="102"/>
      <c r="C108" s="102"/>
      <c r="D108" s="102"/>
      <c r="E108" s="102"/>
      <c r="F108" s="102"/>
      <c r="G108" s="102"/>
      <c r="H108" s="102"/>
      <c r="I108" s="102"/>
      <c r="J108" s="103"/>
    </row>
    <row r="109" spans="1:11" ht="12" customHeight="1" x14ac:dyDescent="0.2">
      <c r="A109" s="88" t="s">
        <v>0</v>
      </c>
      <c r="B109" s="29">
        <v>20411</v>
      </c>
      <c r="C109" s="29"/>
      <c r="D109" s="28" t="s">
        <v>110</v>
      </c>
      <c r="E109" s="28" t="s">
        <v>2</v>
      </c>
      <c r="F109" s="29" t="s">
        <v>346</v>
      </c>
      <c r="G109" s="28" t="s">
        <v>109</v>
      </c>
      <c r="H109" s="28" t="s">
        <v>752</v>
      </c>
      <c r="I109" s="5">
        <v>41.250000000000007</v>
      </c>
      <c r="J109" s="32">
        <f t="shared" ref="J109:J132" si="4">IF(I109="on request","on request",IF(F109="Box",I109*(100%-$C$3),IF(F109="License",I109*(100%-$C$4),IF(F109="Renewal",I109*(100%-$C$5),IF(F109="ESD",I109*(100%-$C$3),I109)))))</f>
        <v>41.250000000000007</v>
      </c>
      <c r="K109" s="561"/>
    </row>
    <row r="110" spans="1:11" ht="12" customHeight="1" x14ac:dyDescent="0.2">
      <c r="A110" s="83" t="s">
        <v>0</v>
      </c>
      <c r="B110" s="4">
        <v>20412</v>
      </c>
      <c r="C110" s="4"/>
      <c r="D110" s="3" t="s">
        <v>111</v>
      </c>
      <c r="E110" s="3" t="s">
        <v>5</v>
      </c>
      <c r="F110" s="4" t="s">
        <v>346</v>
      </c>
      <c r="G110" s="3" t="s">
        <v>109</v>
      </c>
      <c r="H110" s="3" t="s">
        <v>752</v>
      </c>
      <c r="I110" s="5">
        <v>34.650000000000006</v>
      </c>
      <c r="J110" s="23">
        <f t="shared" si="4"/>
        <v>34.650000000000006</v>
      </c>
      <c r="K110" s="561"/>
    </row>
    <row r="111" spans="1:11" ht="12" customHeight="1" x14ac:dyDescent="0.2">
      <c r="A111" s="83" t="s">
        <v>0</v>
      </c>
      <c r="B111" s="4">
        <v>20413</v>
      </c>
      <c r="C111" s="4"/>
      <c r="D111" s="3" t="s">
        <v>112</v>
      </c>
      <c r="E111" s="3" t="s">
        <v>7</v>
      </c>
      <c r="F111" s="4" t="s">
        <v>346</v>
      </c>
      <c r="G111" s="3" t="s">
        <v>109</v>
      </c>
      <c r="H111" s="3" t="s">
        <v>752</v>
      </c>
      <c r="I111" s="5">
        <v>27.637500000000003</v>
      </c>
      <c r="J111" s="23">
        <f t="shared" si="4"/>
        <v>27.637500000000003</v>
      </c>
      <c r="K111" s="561"/>
    </row>
    <row r="112" spans="1:11" ht="12" customHeight="1" x14ac:dyDescent="0.2">
      <c r="A112" s="83" t="s">
        <v>0</v>
      </c>
      <c r="B112" s="4">
        <v>20414</v>
      </c>
      <c r="C112" s="4"/>
      <c r="D112" s="3" t="s">
        <v>113</v>
      </c>
      <c r="E112" s="3" t="s">
        <v>9</v>
      </c>
      <c r="F112" s="4" t="s">
        <v>346</v>
      </c>
      <c r="G112" s="3" t="s">
        <v>109</v>
      </c>
      <c r="H112" s="3" t="s">
        <v>752</v>
      </c>
      <c r="I112" s="5">
        <v>21.450000000000003</v>
      </c>
      <c r="J112" s="23">
        <f t="shared" si="4"/>
        <v>21.450000000000003</v>
      </c>
      <c r="K112" s="561"/>
    </row>
    <row r="113" spans="1:11" ht="12" customHeight="1" x14ac:dyDescent="0.2">
      <c r="A113" s="83" t="s">
        <v>0</v>
      </c>
      <c r="B113" s="4">
        <v>20415</v>
      </c>
      <c r="C113" s="4"/>
      <c r="D113" s="3" t="s">
        <v>114</v>
      </c>
      <c r="E113" s="3" t="s">
        <v>11</v>
      </c>
      <c r="F113" s="4" t="s">
        <v>346</v>
      </c>
      <c r="G113" s="3" t="s">
        <v>109</v>
      </c>
      <c r="H113" s="3" t="s">
        <v>752</v>
      </c>
      <c r="I113" s="5">
        <v>18.975000000000001</v>
      </c>
      <c r="J113" s="23">
        <f t="shared" si="4"/>
        <v>18.975000000000001</v>
      </c>
      <c r="K113" s="561"/>
    </row>
    <row r="114" spans="1:11" ht="12" customHeight="1" x14ac:dyDescent="0.2">
      <c r="A114" s="83" t="s">
        <v>0</v>
      </c>
      <c r="B114" s="4">
        <v>20416</v>
      </c>
      <c r="C114" s="4"/>
      <c r="D114" s="3" t="s">
        <v>115</v>
      </c>
      <c r="E114" s="3" t="s">
        <v>13</v>
      </c>
      <c r="F114" s="4" t="s">
        <v>346</v>
      </c>
      <c r="G114" s="3" t="s">
        <v>109</v>
      </c>
      <c r="H114" s="3" t="s">
        <v>752</v>
      </c>
      <c r="I114" s="5">
        <v>16.5</v>
      </c>
      <c r="J114" s="23">
        <f t="shared" si="4"/>
        <v>16.5</v>
      </c>
      <c r="K114" s="561"/>
    </row>
    <row r="115" spans="1:11" ht="12" customHeight="1" x14ac:dyDescent="0.2">
      <c r="A115" s="83" t="s">
        <v>0</v>
      </c>
      <c r="B115" s="4">
        <v>20417</v>
      </c>
      <c r="C115" s="4"/>
      <c r="D115" s="3" t="s">
        <v>116</v>
      </c>
      <c r="E115" s="3" t="s">
        <v>15</v>
      </c>
      <c r="F115" s="4" t="s">
        <v>346</v>
      </c>
      <c r="G115" s="3" t="s">
        <v>109</v>
      </c>
      <c r="H115" s="3" t="s">
        <v>752</v>
      </c>
      <c r="I115" s="5">
        <v>14.850000000000001</v>
      </c>
      <c r="J115" s="23">
        <f t="shared" si="4"/>
        <v>14.850000000000001</v>
      </c>
      <c r="K115" s="561"/>
    </row>
    <row r="116" spans="1:11" ht="12" customHeight="1" x14ac:dyDescent="0.2">
      <c r="A116" s="83" t="s">
        <v>0</v>
      </c>
      <c r="B116" s="4">
        <v>20418</v>
      </c>
      <c r="C116" s="4"/>
      <c r="D116" s="3" t="s">
        <v>117</v>
      </c>
      <c r="E116" s="3" t="s">
        <v>17</v>
      </c>
      <c r="F116" s="4" t="s">
        <v>346</v>
      </c>
      <c r="G116" s="3" t="s">
        <v>109</v>
      </c>
      <c r="H116" s="3" t="s">
        <v>752</v>
      </c>
      <c r="I116" s="5">
        <v>13.200000000000001</v>
      </c>
      <c r="J116" s="23">
        <f t="shared" si="4"/>
        <v>13.200000000000001</v>
      </c>
      <c r="K116" s="561"/>
    </row>
    <row r="117" spans="1:11" ht="12" customHeight="1" x14ac:dyDescent="0.2">
      <c r="A117" s="83" t="s">
        <v>0</v>
      </c>
      <c r="B117" s="4">
        <v>20421</v>
      </c>
      <c r="C117" s="4"/>
      <c r="D117" s="3" t="s">
        <v>118</v>
      </c>
      <c r="E117" s="3" t="s">
        <v>2</v>
      </c>
      <c r="F117" s="4" t="s">
        <v>346</v>
      </c>
      <c r="G117" s="3" t="s">
        <v>109</v>
      </c>
      <c r="H117" s="3" t="s">
        <v>753</v>
      </c>
      <c r="I117" s="5">
        <v>57.75</v>
      </c>
      <c r="J117" s="23">
        <f t="shared" si="4"/>
        <v>57.75</v>
      </c>
      <c r="K117" s="561"/>
    </row>
    <row r="118" spans="1:11" ht="12" customHeight="1" x14ac:dyDescent="0.2">
      <c r="A118" s="83" t="s">
        <v>0</v>
      </c>
      <c r="B118" s="4">
        <v>20422</v>
      </c>
      <c r="C118" s="4"/>
      <c r="D118" s="3" t="s">
        <v>119</v>
      </c>
      <c r="E118" s="3" t="s">
        <v>5</v>
      </c>
      <c r="F118" s="4" t="s">
        <v>346</v>
      </c>
      <c r="G118" s="3" t="s">
        <v>109</v>
      </c>
      <c r="H118" s="3" t="s">
        <v>753</v>
      </c>
      <c r="I118" s="5">
        <v>51.150000000000006</v>
      </c>
      <c r="J118" s="23">
        <f t="shared" si="4"/>
        <v>51.150000000000006</v>
      </c>
      <c r="K118" s="561"/>
    </row>
    <row r="119" spans="1:11" ht="12" customHeight="1" x14ac:dyDescent="0.2">
      <c r="A119" s="83" t="s">
        <v>0</v>
      </c>
      <c r="B119" s="4">
        <v>20423</v>
      </c>
      <c r="C119" s="4"/>
      <c r="D119" s="3" t="s">
        <v>120</v>
      </c>
      <c r="E119" s="3" t="s">
        <v>7</v>
      </c>
      <c r="F119" s="4" t="s">
        <v>346</v>
      </c>
      <c r="G119" s="3" t="s">
        <v>109</v>
      </c>
      <c r="H119" s="3" t="s">
        <v>753</v>
      </c>
      <c r="I119" s="5">
        <v>39.6</v>
      </c>
      <c r="J119" s="23">
        <f t="shared" si="4"/>
        <v>39.6</v>
      </c>
      <c r="K119" s="561"/>
    </row>
    <row r="120" spans="1:11" ht="12" customHeight="1" x14ac:dyDescent="0.2">
      <c r="A120" s="83" t="s">
        <v>0</v>
      </c>
      <c r="B120" s="4">
        <v>20424</v>
      </c>
      <c r="C120" s="4"/>
      <c r="D120" s="3" t="s">
        <v>121</v>
      </c>
      <c r="E120" s="3" t="s">
        <v>9</v>
      </c>
      <c r="F120" s="4" t="s">
        <v>346</v>
      </c>
      <c r="G120" s="3" t="s">
        <v>109</v>
      </c>
      <c r="H120" s="3" t="s">
        <v>753</v>
      </c>
      <c r="I120" s="5">
        <v>33</v>
      </c>
      <c r="J120" s="23">
        <f t="shared" si="4"/>
        <v>33</v>
      </c>
      <c r="K120" s="561"/>
    </row>
    <row r="121" spans="1:11" ht="12" customHeight="1" x14ac:dyDescent="0.2">
      <c r="A121" s="83" t="s">
        <v>0</v>
      </c>
      <c r="B121" s="4">
        <v>20425</v>
      </c>
      <c r="C121" s="4"/>
      <c r="D121" s="3" t="s">
        <v>122</v>
      </c>
      <c r="E121" s="3" t="s">
        <v>11</v>
      </c>
      <c r="F121" s="4" t="s">
        <v>346</v>
      </c>
      <c r="G121" s="3" t="s">
        <v>109</v>
      </c>
      <c r="H121" s="3" t="s">
        <v>753</v>
      </c>
      <c r="I121" s="5">
        <v>28.875</v>
      </c>
      <c r="J121" s="23">
        <f t="shared" si="4"/>
        <v>28.875</v>
      </c>
      <c r="K121" s="561"/>
    </row>
    <row r="122" spans="1:11" ht="12" customHeight="1" x14ac:dyDescent="0.2">
      <c r="A122" s="83" t="s">
        <v>0</v>
      </c>
      <c r="B122" s="4">
        <v>20426</v>
      </c>
      <c r="C122" s="4"/>
      <c r="D122" s="3" t="s">
        <v>123</v>
      </c>
      <c r="E122" s="3" t="s">
        <v>13</v>
      </c>
      <c r="F122" s="4" t="s">
        <v>346</v>
      </c>
      <c r="G122" s="3" t="s">
        <v>109</v>
      </c>
      <c r="H122" s="3" t="s">
        <v>753</v>
      </c>
      <c r="I122" s="5">
        <v>24.75</v>
      </c>
      <c r="J122" s="23">
        <f t="shared" si="4"/>
        <v>24.75</v>
      </c>
      <c r="K122" s="561"/>
    </row>
    <row r="123" spans="1:11" ht="12" customHeight="1" x14ac:dyDescent="0.2">
      <c r="A123" s="83" t="s">
        <v>0</v>
      </c>
      <c r="B123" s="4">
        <v>20427</v>
      </c>
      <c r="C123" s="4"/>
      <c r="D123" s="3" t="s">
        <v>124</v>
      </c>
      <c r="E123" s="3" t="s">
        <v>15</v>
      </c>
      <c r="F123" s="4" t="s">
        <v>346</v>
      </c>
      <c r="G123" s="3" t="s">
        <v>109</v>
      </c>
      <c r="H123" s="3" t="s">
        <v>753</v>
      </c>
      <c r="I123" s="5">
        <v>22.275000000000002</v>
      </c>
      <c r="J123" s="23">
        <f t="shared" si="4"/>
        <v>22.275000000000002</v>
      </c>
      <c r="K123" s="561"/>
    </row>
    <row r="124" spans="1:11" ht="12" customHeight="1" x14ac:dyDescent="0.2">
      <c r="A124" s="83" t="s">
        <v>0</v>
      </c>
      <c r="B124" s="4">
        <v>20428</v>
      </c>
      <c r="C124" s="4"/>
      <c r="D124" s="3" t="s">
        <v>125</v>
      </c>
      <c r="E124" s="3" t="s">
        <v>17</v>
      </c>
      <c r="F124" s="4" t="s">
        <v>346</v>
      </c>
      <c r="G124" s="3" t="s">
        <v>109</v>
      </c>
      <c r="H124" s="3" t="s">
        <v>753</v>
      </c>
      <c r="I124" s="5">
        <v>20.625000000000004</v>
      </c>
      <c r="J124" s="23">
        <f t="shared" si="4"/>
        <v>20.625000000000004</v>
      </c>
      <c r="K124" s="561"/>
    </row>
    <row r="125" spans="1:11" ht="12" customHeight="1" x14ac:dyDescent="0.2">
      <c r="A125" s="83" t="s">
        <v>0</v>
      </c>
      <c r="B125" s="4">
        <v>20431</v>
      </c>
      <c r="C125" s="4"/>
      <c r="D125" s="3" t="s">
        <v>126</v>
      </c>
      <c r="E125" s="3" t="s">
        <v>2</v>
      </c>
      <c r="F125" s="4" t="s">
        <v>346</v>
      </c>
      <c r="G125" s="3" t="s">
        <v>109</v>
      </c>
      <c r="H125" s="3" t="s">
        <v>755</v>
      </c>
      <c r="I125" s="5">
        <v>73.425000000000011</v>
      </c>
      <c r="J125" s="23">
        <f t="shared" si="4"/>
        <v>73.425000000000011</v>
      </c>
      <c r="K125" s="561"/>
    </row>
    <row r="126" spans="1:11" ht="12" customHeight="1" x14ac:dyDescent="0.2">
      <c r="A126" s="83" t="s">
        <v>0</v>
      </c>
      <c r="B126" s="4">
        <v>20432</v>
      </c>
      <c r="C126" s="4"/>
      <c r="D126" s="3" t="s">
        <v>127</v>
      </c>
      <c r="E126" s="3" t="s">
        <v>5</v>
      </c>
      <c r="F126" s="4" t="s">
        <v>346</v>
      </c>
      <c r="G126" s="3" t="s">
        <v>109</v>
      </c>
      <c r="H126" s="3" t="s">
        <v>755</v>
      </c>
      <c r="I126" s="5">
        <v>65.175000000000011</v>
      </c>
      <c r="J126" s="23">
        <f t="shared" si="4"/>
        <v>65.175000000000011</v>
      </c>
      <c r="K126" s="561"/>
    </row>
    <row r="127" spans="1:11" ht="12" customHeight="1" x14ac:dyDescent="0.2">
      <c r="A127" s="83" t="s">
        <v>0</v>
      </c>
      <c r="B127" s="4">
        <v>20433</v>
      </c>
      <c r="C127" s="4"/>
      <c r="D127" s="3" t="s">
        <v>128</v>
      </c>
      <c r="E127" s="3" t="s">
        <v>7</v>
      </c>
      <c r="F127" s="4" t="s">
        <v>346</v>
      </c>
      <c r="G127" s="3" t="s">
        <v>109</v>
      </c>
      <c r="H127" s="3" t="s">
        <v>755</v>
      </c>
      <c r="I127" s="5">
        <v>56.100000000000009</v>
      </c>
      <c r="J127" s="23">
        <f t="shared" si="4"/>
        <v>56.100000000000009</v>
      </c>
      <c r="K127" s="561"/>
    </row>
    <row r="128" spans="1:11" ht="12" customHeight="1" x14ac:dyDescent="0.2">
      <c r="A128" s="83" t="s">
        <v>0</v>
      </c>
      <c r="B128" s="4">
        <v>20434</v>
      </c>
      <c r="C128" s="4"/>
      <c r="D128" s="3" t="s">
        <v>129</v>
      </c>
      <c r="E128" s="3" t="s">
        <v>9</v>
      </c>
      <c r="F128" s="4" t="s">
        <v>346</v>
      </c>
      <c r="G128" s="3" t="s">
        <v>109</v>
      </c>
      <c r="H128" s="3" t="s">
        <v>755</v>
      </c>
      <c r="I128" s="5">
        <v>47.85</v>
      </c>
      <c r="J128" s="23">
        <f t="shared" si="4"/>
        <v>47.85</v>
      </c>
      <c r="K128" s="561"/>
    </row>
    <row r="129" spans="1:11" ht="12" customHeight="1" x14ac:dyDescent="0.2">
      <c r="A129" s="83" t="s">
        <v>0</v>
      </c>
      <c r="B129" s="4">
        <v>20435</v>
      </c>
      <c r="C129" s="4"/>
      <c r="D129" s="3" t="s">
        <v>130</v>
      </c>
      <c r="E129" s="3" t="s">
        <v>11</v>
      </c>
      <c r="F129" s="4" t="s">
        <v>346</v>
      </c>
      <c r="G129" s="3" t="s">
        <v>109</v>
      </c>
      <c r="H129" s="3" t="s">
        <v>755</v>
      </c>
      <c r="I129" s="5">
        <v>40.425000000000004</v>
      </c>
      <c r="J129" s="23">
        <f t="shared" si="4"/>
        <v>40.425000000000004</v>
      </c>
      <c r="K129" s="561"/>
    </row>
    <row r="130" spans="1:11" ht="12" customHeight="1" x14ac:dyDescent="0.2">
      <c r="A130" s="83" t="s">
        <v>0</v>
      </c>
      <c r="B130" s="4">
        <v>20436</v>
      </c>
      <c r="C130" s="4"/>
      <c r="D130" s="3" t="s">
        <v>131</v>
      </c>
      <c r="E130" s="3" t="s">
        <v>13</v>
      </c>
      <c r="F130" s="4" t="s">
        <v>346</v>
      </c>
      <c r="G130" s="3" t="s">
        <v>109</v>
      </c>
      <c r="H130" s="3" t="s">
        <v>755</v>
      </c>
      <c r="I130" s="5">
        <v>33.825000000000003</v>
      </c>
      <c r="J130" s="23">
        <f t="shared" si="4"/>
        <v>33.825000000000003</v>
      </c>
      <c r="K130" s="561"/>
    </row>
    <row r="131" spans="1:11" ht="12" customHeight="1" x14ac:dyDescent="0.2">
      <c r="A131" s="83" t="s">
        <v>0</v>
      </c>
      <c r="B131" s="4">
        <v>20437</v>
      </c>
      <c r="C131" s="4"/>
      <c r="D131" s="3" t="s">
        <v>132</v>
      </c>
      <c r="E131" s="3" t="s">
        <v>15</v>
      </c>
      <c r="F131" s="4" t="s">
        <v>346</v>
      </c>
      <c r="G131" s="3" t="s">
        <v>109</v>
      </c>
      <c r="H131" s="3" t="s">
        <v>755</v>
      </c>
      <c r="I131" s="5">
        <v>30.525000000000002</v>
      </c>
      <c r="J131" s="23">
        <f t="shared" si="4"/>
        <v>30.525000000000002</v>
      </c>
      <c r="K131" s="561"/>
    </row>
    <row r="132" spans="1:11" ht="12" customHeight="1" thickBot="1" x14ac:dyDescent="0.25">
      <c r="A132" s="84" t="s">
        <v>0</v>
      </c>
      <c r="B132" s="24">
        <v>20438</v>
      </c>
      <c r="C132" s="24"/>
      <c r="D132" s="25" t="s">
        <v>133</v>
      </c>
      <c r="E132" s="25" t="s">
        <v>17</v>
      </c>
      <c r="F132" s="24" t="s">
        <v>346</v>
      </c>
      <c r="G132" s="25" t="s">
        <v>109</v>
      </c>
      <c r="H132" s="25" t="s">
        <v>755</v>
      </c>
      <c r="I132" s="5">
        <v>27.225000000000001</v>
      </c>
      <c r="J132" s="27">
        <f t="shared" si="4"/>
        <v>27.225000000000001</v>
      </c>
      <c r="K132" s="561"/>
    </row>
    <row r="133" spans="1:11" ht="12" customHeight="1" x14ac:dyDescent="0.2">
      <c r="A133" s="101" t="s">
        <v>785</v>
      </c>
      <c r="B133" s="102"/>
      <c r="C133" s="102"/>
      <c r="D133" s="102"/>
      <c r="E133" s="102"/>
      <c r="F133" s="102"/>
      <c r="G133" s="102"/>
      <c r="H133" s="102"/>
      <c r="I133" s="114"/>
      <c r="J133" s="103"/>
    </row>
    <row r="134" spans="1:11" ht="12" customHeight="1" x14ac:dyDescent="0.2">
      <c r="A134" s="89" t="s">
        <v>0</v>
      </c>
      <c r="B134" s="31">
        <v>20461</v>
      </c>
      <c r="C134" s="31"/>
      <c r="D134" s="30" t="s">
        <v>134</v>
      </c>
      <c r="E134" s="30" t="s">
        <v>36</v>
      </c>
      <c r="F134" s="31" t="s">
        <v>347</v>
      </c>
      <c r="G134" s="30" t="s">
        <v>109</v>
      </c>
      <c r="H134" s="30" t="s">
        <v>758</v>
      </c>
      <c r="I134" s="8">
        <v>22.000000000000004</v>
      </c>
      <c r="J134" s="39">
        <f t="shared" ref="J134:J157" si="5">IF(I134="on request","on request",IF(F134="Box",I134*(100%-$C$3),IF(F134="License",I134*(100%-$C$4),IF(F134="Renewal",I134*(100%-$C$5),IF(F134="ESD",I134*(100%-$C$3),I134)))))</f>
        <v>22.000000000000004</v>
      </c>
    </row>
    <row r="135" spans="1:11" ht="12" customHeight="1" x14ac:dyDescent="0.2">
      <c r="A135" s="85" t="s">
        <v>0</v>
      </c>
      <c r="B135" s="7">
        <v>20462</v>
      </c>
      <c r="C135" s="7"/>
      <c r="D135" s="6" t="s">
        <v>135</v>
      </c>
      <c r="E135" s="6" t="s">
        <v>38</v>
      </c>
      <c r="F135" s="7" t="s">
        <v>347</v>
      </c>
      <c r="G135" s="6" t="s">
        <v>109</v>
      </c>
      <c r="H135" s="6" t="s">
        <v>758</v>
      </c>
      <c r="I135" s="8">
        <v>21.560000000000002</v>
      </c>
      <c r="J135" s="19">
        <f t="shared" si="5"/>
        <v>21.560000000000002</v>
      </c>
    </row>
    <row r="136" spans="1:11" ht="12" customHeight="1" x14ac:dyDescent="0.2">
      <c r="A136" s="85" t="s">
        <v>0</v>
      </c>
      <c r="B136" s="7">
        <v>20463</v>
      </c>
      <c r="C136" s="7"/>
      <c r="D136" s="6" t="s">
        <v>136</v>
      </c>
      <c r="E136" s="6" t="s">
        <v>40</v>
      </c>
      <c r="F136" s="7" t="s">
        <v>347</v>
      </c>
      <c r="G136" s="6" t="s">
        <v>109</v>
      </c>
      <c r="H136" s="6" t="s">
        <v>758</v>
      </c>
      <c r="I136" s="8">
        <v>18.128000000000004</v>
      </c>
      <c r="J136" s="19">
        <f t="shared" si="5"/>
        <v>18.128000000000004</v>
      </c>
    </row>
    <row r="137" spans="1:11" ht="12" customHeight="1" x14ac:dyDescent="0.2">
      <c r="A137" s="85" t="s">
        <v>0</v>
      </c>
      <c r="B137" s="7">
        <v>20464</v>
      </c>
      <c r="C137" s="7"/>
      <c r="D137" s="6" t="s">
        <v>137</v>
      </c>
      <c r="E137" s="6" t="s">
        <v>42</v>
      </c>
      <c r="F137" s="7" t="s">
        <v>347</v>
      </c>
      <c r="G137" s="6" t="s">
        <v>109</v>
      </c>
      <c r="H137" s="6" t="s">
        <v>758</v>
      </c>
      <c r="I137" s="8">
        <v>16.984000000000005</v>
      </c>
      <c r="J137" s="19">
        <f t="shared" si="5"/>
        <v>16.984000000000005</v>
      </c>
    </row>
    <row r="138" spans="1:11" ht="12" customHeight="1" x14ac:dyDescent="0.2">
      <c r="A138" s="85" t="s">
        <v>0</v>
      </c>
      <c r="B138" s="7">
        <v>20465</v>
      </c>
      <c r="C138" s="7"/>
      <c r="D138" s="6" t="s">
        <v>138</v>
      </c>
      <c r="E138" s="6" t="s">
        <v>44</v>
      </c>
      <c r="F138" s="7" t="s">
        <v>347</v>
      </c>
      <c r="G138" s="6" t="s">
        <v>109</v>
      </c>
      <c r="H138" s="6" t="s">
        <v>758</v>
      </c>
      <c r="I138" s="8">
        <v>13.772000000000004</v>
      </c>
      <c r="J138" s="19">
        <f t="shared" si="5"/>
        <v>13.772000000000004</v>
      </c>
    </row>
    <row r="139" spans="1:11" ht="12" customHeight="1" x14ac:dyDescent="0.2">
      <c r="A139" s="85" t="s">
        <v>0</v>
      </c>
      <c r="B139" s="7">
        <v>20466</v>
      </c>
      <c r="C139" s="7"/>
      <c r="D139" s="6" t="s">
        <v>139</v>
      </c>
      <c r="E139" s="6" t="s">
        <v>46</v>
      </c>
      <c r="F139" s="7" t="s">
        <v>347</v>
      </c>
      <c r="G139" s="6" t="s">
        <v>109</v>
      </c>
      <c r="H139" s="6" t="s">
        <v>758</v>
      </c>
      <c r="I139" s="8">
        <v>10.788800000000002</v>
      </c>
      <c r="J139" s="19">
        <f t="shared" si="5"/>
        <v>10.788800000000002</v>
      </c>
    </row>
    <row r="140" spans="1:11" ht="12" customHeight="1" x14ac:dyDescent="0.2">
      <c r="A140" s="85" t="s">
        <v>0</v>
      </c>
      <c r="B140" s="7">
        <v>20467</v>
      </c>
      <c r="C140" s="7"/>
      <c r="D140" s="6" t="s">
        <v>140</v>
      </c>
      <c r="E140" s="6" t="s">
        <v>48</v>
      </c>
      <c r="F140" s="7" t="s">
        <v>347</v>
      </c>
      <c r="G140" s="6" t="s">
        <v>109</v>
      </c>
      <c r="H140" s="6" t="s">
        <v>758</v>
      </c>
      <c r="I140" s="8">
        <v>9.3544000000000018</v>
      </c>
      <c r="J140" s="19">
        <f t="shared" si="5"/>
        <v>9.3544000000000018</v>
      </c>
    </row>
    <row r="141" spans="1:11" ht="12" customHeight="1" x14ac:dyDescent="0.2">
      <c r="A141" s="85" t="s">
        <v>0</v>
      </c>
      <c r="B141" s="7">
        <v>20468</v>
      </c>
      <c r="C141" s="7"/>
      <c r="D141" s="6" t="s">
        <v>141</v>
      </c>
      <c r="E141" s="6" t="s">
        <v>50</v>
      </c>
      <c r="F141" s="7" t="s">
        <v>347</v>
      </c>
      <c r="G141" s="6" t="s">
        <v>109</v>
      </c>
      <c r="H141" s="6" t="s">
        <v>758</v>
      </c>
      <c r="I141" s="8">
        <v>8.0080000000000009</v>
      </c>
      <c r="J141" s="19">
        <f t="shared" si="5"/>
        <v>8.0080000000000009</v>
      </c>
    </row>
    <row r="142" spans="1:11" ht="12" customHeight="1" x14ac:dyDescent="0.2">
      <c r="A142" s="85" t="s">
        <v>0</v>
      </c>
      <c r="B142" s="7">
        <v>20471</v>
      </c>
      <c r="C142" s="7"/>
      <c r="D142" s="6" t="s">
        <v>142</v>
      </c>
      <c r="E142" s="6" t="s">
        <v>36</v>
      </c>
      <c r="F142" s="7" t="s">
        <v>347</v>
      </c>
      <c r="G142" s="6" t="s">
        <v>109</v>
      </c>
      <c r="H142" s="6" t="s">
        <v>759</v>
      </c>
      <c r="I142" s="8">
        <v>38.500000000000007</v>
      </c>
      <c r="J142" s="19">
        <f t="shared" si="5"/>
        <v>38.500000000000007</v>
      </c>
    </row>
    <row r="143" spans="1:11" ht="12" customHeight="1" x14ac:dyDescent="0.2">
      <c r="A143" s="85" t="s">
        <v>0</v>
      </c>
      <c r="B143" s="7">
        <v>20472</v>
      </c>
      <c r="C143" s="7"/>
      <c r="D143" s="6" t="s">
        <v>143</v>
      </c>
      <c r="E143" s="6" t="s">
        <v>38</v>
      </c>
      <c r="F143" s="7" t="s">
        <v>347</v>
      </c>
      <c r="G143" s="6" t="s">
        <v>109</v>
      </c>
      <c r="H143" s="6" t="s">
        <v>759</v>
      </c>
      <c r="I143" s="8">
        <v>37.730000000000004</v>
      </c>
      <c r="J143" s="19">
        <f t="shared" si="5"/>
        <v>37.730000000000004</v>
      </c>
    </row>
    <row r="144" spans="1:11" ht="12" customHeight="1" x14ac:dyDescent="0.2">
      <c r="A144" s="85" t="s">
        <v>0</v>
      </c>
      <c r="B144" s="7">
        <v>20473</v>
      </c>
      <c r="C144" s="7"/>
      <c r="D144" s="6" t="s">
        <v>144</v>
      </c>
      <c r="E144" s="6" t="s">
        <v>40</v>
      </c>
      <c r="F144" s="7" t="s">
        <v>347</v>
      </c>
      <c r="G144" s="6" t="s">
        <v>109</v>
      </c>
      <c r="H144" s="6" t="s">
        <v>759</v>
      </c>
      <c r="I144" s="8">
        <v>31.724000000000007</v>
      </c>
      <c r="J144" s="19">
        <f t="shared" si="5"/>
        <v>31.724000000000007</v>
      </c>
    </row>
    <row r="145" spans="1:11" ht="12" customHeight="1" x14ac:dyDescent="0.2">
      <c r="A145" s="85" t="s">
        <v>0</v>
      </c>
      <c r="B145" s="7">
        <v>20474</v>
      </c>
      <c r="C145" s="7"/>
      <c r="D145" s="6" t="s">
        <v>145</v>
      </c>
      <c r="E145" s="6" t="s">
        <v>42</v>
      </c>
      <c r="F145" s="7" t="s">
        <v>347</v>
      </c>
      <c r="G145" s="6" t="s">
        <v>109</v>
      </c>
      <c r="H145" s="6" t="s">
        <v>759</v>
      </c>
      <c r="I145" s="8">
        <v>29.722000000000005</v>
      </c>
      <c r="J145" s="19">
        <f t="shared" si="5"/>
        <v>29.722000000000005</v>
      </c>
    </row>
    <row r="146" spans="1:11" ht="12" customHeight="1" x14ac:dyDescent="0.2">
      <c r="A146" s="85" t="s">
        <v>0</v>
      </c>
      <c r="B146" s="7">
        <v>20475</v>
      </c>
      <c r="C146" s="7"/>
      <c r="D146" s="6" t="s">
        <v>146</v>
      </c>
      <c r="E146" s="6" t="s">
        <v>44</v>
      </c>
      <c r="F146" s="7" t="s">
        <v>347</v>
      </c>
      <c r="G146" s="6" t="s">
        <v>109</v>
      </c>
      <c r="H146" s="6" t="s">
        <v>759</v>
      </c>
      <c r="I146" s="8">
        <v>24.101000000000003</v>
      </c>
      <c r="J146" s="19">
        <f t="shared" si="5"/>
        <v>24.101000000000003</v>
      </c>
    </row>
    <row r="147" spans="1:11" ht="12" customHeight="1" x14ac:dyDescent="0.2">
      <c r="A147" s="85" t="s">
        <v>0</v>
      </c>
      <c r="B147" s="7">
        <v>20476</v>
      </c>
      <c r="C147" s="7"/>
      <c r="D147" s="6" t="s">
        <v>147</v>
      </c>
      <c r="E147" s="6" t="s">
        <v>46</v>
      </c>
      <c r="F147" s="7" t="s">
        <v>347</v>
      </c>
      <c r="G147" s="6" t="s">
        <v>109</v>
      </c>
      <c r="H147" s="6" t="s">
        <v>759</v>
      </c>
      <c r="I147" s="8">
        <v>18.880400000000002</v>
      </c>
      <c r="J147" s="19">
        <f t="shared" si="5"/>
        <v>18.880400000000002</v>
      </c>
    </row>
    <row r="148" spans="1:11" ht="12" customHeight="1" x14ac:dyDescent="0.2">
      <c r="A148" s="85" t="s">
        <v>0</v>
      </c>
      <c r="B148" s="7">
        <v>20477</v>
      </c>
      <c r="C148" s="7"/>
      <c r="D148" s="6" t="s">
        <v>148</v>
      </c>
      <c r="E148" s="6" t="s">
        <v>48</v>
      </c>
      <c r="F148" s="7" t="s">
        <v>347</v>
      </c>
      <c r="G148" s="6" t="s">
        <v>109</v>
      </c>
      <c r="H148" s="6" t="s">
        <v>759</v>
      </c>
      <c r="I148" s="8">
        <v>16.370200000000004</v>
      </c>
      <c r="J148" s="19">
        <f t="shared" si="5"/>
        <v>16.370200000000004</v>
      </c>
    </row>
    <row r="149" spans="1:11" ht="12" customHeight="1" x14ac:dyDescent="0.2">
      <c r="A149" s="85" t="s">
        <v>0</v>
      </c>
      <c r="B149" s="7">
        <v>20478</v>
      </c>
      <c r="C149" s="7"/>
      <c r="D149" s="6" t="s">
        <v>149</v>
      </c>
      <c r="E149" s="6" t="s">
        <v>50</v>
      </c>
      <c r="F149" s="7" t="s">
        <v>347</v>
      </c>
      <c r="G149" s="6" t="s">
        <v>109</v>
      </c>
      <c r="H149" s="6" t="s">
        <v>759</v>
      </c>
      <c r="I149" s="8">
        <v>14.872</v>
      </c>
      <c r="J149" s="19">
        <f t="shared" si="5"/>
        <v>14.872</v>
      </c>
    </row>
    <row r="150" spans="1:11" ht="12" customHeight="1" x14ac:dyDescent="0.2">
      <c r="A150" s="85" t="s">
        <v>0</v>
      </c>
      <c r="B150" s="7">
        <v>20481</v>
      </c>
      <c r="C150" s="7"/>
      <c r="D150" s="6" t="s">
        <v>150</v>
      </c>
      <c r="E150" s="6" t="s">
        <v>36</v>
      </c>
      <c r="F150" s="7" t="s">
        <v>347</v>
      </c>
      <c r="G150" s="6" t="s">
        <v>109</v>
      </c>
      <c r="H150" s="6" t="s">
        <v>760</v>
      </c>
      <c r="I150" s="8">
        <v>55</v>
      </c>
      <c r="J150" s="19">
        <f t="shared" si="5"/>
        <v>55</v>
      </c>
    </row>
    <row r="151" spans="1:11" ht="12" customHeight="1" x14ac:dyDescent="0.2">
      <c r="A151" s="85" t="s">
        <v>0</v>
      </c>
      <c r="B151" s="7">
        <v>20482</v>
      </c>
      <c r="C151" s="7"/>
      <c r="D151" s="6" t="s">
        <v>151</v>
      </c>
      <c r="E151" s="6" t="s">
        <v>38</v>
      </c>
      <c r="F151" s="7" t="s">
        <v>347</v>
      </c>
      <c r="G151" s="6" t="s">
        <v>109</v>
      </c>
      <c r="H151" s="6" t="s">
        <v>760</v>
      </c>
      <c r="I151" s="8">
        <v>53.900000000000006</v>
      </c>
      <c r="J151" s="19">
        <f t="shared" si="5"/>
        <v>53.900000000000006</v>
      </c>
    </row>
    <row r="152" spans="1:11" ht="12" customHeight="1" x14ac:dyDescent="0.2">
      <c r="A152" s="85" t="s">
        <v>0</v>
      </c>
      <c r="B152" s="7">
        <v>20483</v>
      </c>
      <c r="C152" s="7"/>
      <c r="D152" s="6" t="s">
        <v>152</v>
      </c>
      <c r="E152" s="6" t="s">
        <v>40</v>
      </c>
      <c r="F152" s="7" t="s">
        <v>347</v>
      </c>
      <c r="G152" s="6" t="s">
        <v>109</v>
      </c>
      <c r="H152" s="6" t="s">
        <v>760</v>
      </c>
      <c r="I152" s="8">
        <v>45.320000000000007</v>
      </c>
      <c r="J152" s="19">
        <f t="shared" si="5"/>
        <v>45.320000000000007</v>
      </c>
    </row>
    <row r="153" spans="1:11" ht="12" customHeight="1" x14ac:dyDescent="0.2">
      <c r="A153" s="85" t="s">
        <v>0</v>
      </c>
      <c r="B153" s="7">
        <v>20484</v>
      </c>
      <c r="C153" s="7"/>
      <c r="D153" s="6" t="s">
        <v>153</v>
      </c>
      <c r="E153" s="6" t="s">
        <v>42</v>
      </c>
      <c r="F153" s="7" t="s">
        <v>347</v>
      </c>
      <c r="G153" s="6" t="s">
        <v>109</v>
      </c>
      <c r="H153" s="6" t="s">
        <v>760</v>
      </c>
      <c r="I153" s="8">
        <v>42.460000000000008</v>
      </c>
      <c r="J153" s="19">
        <f t="shared" si="5"/>
        <v>42.460000000000008</v>
      </c>
    </row>
    <row r="154" spans="1:11" ht="12" customHeight="1" x14ac:dyDescent="0.2">
      <c r="A154" s="85" t="s">
        <v>0</v>
      </c>
      <c r="B154" s="7">
        <v>20485</v>
      </c>
      <c r="C154" s="7"/>
      <c r="D154" s="6" t="s">
        <v>154</v>
      </c>
      <c r="E154" s="6" t="s">
        <v>44</v>
      </c>
      <c r="F154" s="7" t="s">
        <v>347</v>
      </c>
      <c r="G154" s="6" t="s">
        <v>109</v>
      </c>
      <c r="H154" s="6" t="s">
        <v>760</v>
      </c>
      <c r="I154" s="8">
        <v>34.43</v>
      </c>
      <c r="J154" s="19">
        <f t="shared" si="5"/>
        <v>34.43</v>
      </c>
    </row>
    <row r="155" spans="1:11" ht="12" customHeight="1" x14ac:dyDescent="0.2">
      <c r="A155" s="85" t="s">
        <v>0</v>
      </c>
      <c r="B155" s="7">
        <v>20486</v>
      </c>
      <c r="C155" s="7"/>
      <c r="D155" s="6" t="s">
        <v>155</v>
      </c>
      <c r="E155" s="6" t="s">
        <v>46</v>
      </c>
      <c r="F155" s="7" t="s">
        <v>347</v>
      </c>
      <c r="G155" s="6" t="s">
        <v>109</v>
      </c>
      <c r="H155" s="6" t="s">
        <v>760</v>
      </c>
      <c r="I155" s="8">
        <v>26.972000000000005</v>
      </c>
      <c r="J155" s="19">
        <f t="shared" si="5"/>
        <v>26.972000000000005</v>
      </c>
    </row>
    <row r="156" spans="1:11" ht="12" customHeight="1" x14ac:dyDescent="0.2">
      <c r="A156" s="85" t="s">
        <v>0</v>
      </c>
      <c r="B156" s="7">
        <v>20487</v>
      </c>
      <c r="C156" s="7"/>
      <c r="D156" s="6" t="s">
        <v>156</v>
      </c>
      <c r="E156" s="6" t="s">
        <v>48</v>
      </c>
      <c r="F156" s="7" t="s">
        <v>347</v>
      </c>
      <c r="G156" s="6" t="s">
        <v>109</v>
      </c>
      <c r="H156" s="6" t="s">
        <v>760</v>
      </c>
      <c r="I156" s="8">
        <v>23.386000000000006</v>
      </c>
      <c r="J156" s="19">
        <f t="shared" si="5"/>
        <v>23.386000000000006</v>
      </c>
    </row>
    <row r="157" spans="1:11" ht="12" customHeight="1" thickBot="1" x14ac:dyDescent="0.25">
      <c r="A157" s="90" t="s">
        <v>0</v>
      </c>
      <c r="B157" s="34">
        <v>20488</v>
      </c>
      <c r="C157" s="34"/>
      <c r="D157" s="33" t="s">
        <v>157</v>
      </c>
      <c r="E157" s="33" t="s">
        <v>50</v>
      </c>
      <c r="F157" s="34" t="s">
        <v>347</v>
      </c>
      <c r="G157" s="33" t="s">
        <v>109</v>
      </c>
      <c r="H157" s="33" t="s">
        <v>760</v>
      </c>
      <c r="I157" s="423">
        <v>20.020000000000003</v>
      </c>
      <c r="J157" s="38">
        <f t="shared" si="5"/>
        <v>20.020000000000003</v>
      </c>
    </row>
    <row r="158" spans="1:11" ht="12" customHeight="1" x14ac:dyDescent="0.2">
      <c r="A158" s="101" t="s">
        <v>949</v>
      </c>
      <c r="B158" s="102"/>
      <c r="C158" s="102"/>
      <c r="D158" s="102"/>
      <c r="E158" s="102"/>
      <c r="F158" s="102"/>
      <c r="G158" s="102"/>
      <c r="H158" s="102"/>
      <c r="I158" s="102"/>
      <c r="J158" s="103"/>
    </row>
    <row r="159" spans="1:11" ht="12" customHeight="1" x14ac:dyDescent="0.2">
      <c r="A159" s="83" t="s">
        <v>0</v>
      </c>
      <c r="B159" s="4">
        <v>20511</v>
      </c>
      <c r="C159" s="4"/>
      <c r="D159" s="3" t="s">
        <v>158</v>
      </c>
      <c r="E159" s="3" t="s">
        <v>2</v>
      </c>
      <c r="F159" s="4" t="s">
        <v>346</v>
      </c>
      <c r="G159" s="3" t="s">
        <v>950</v>
      </c>
      <c r="H159" s="3" t="s">
        <v>752</v>
      </c>
      <c r="I159" s="5">
        <v>49.5</v>
      </c>
      <c r="J159" s="23">
        <f t="shared" ref="J159:J182" si="6">IF(I159="on request","on request",IF(F159="Box",I159*(100%-$C$3),IF(F159="License",I159*(100%-$C$4),IF(F159="Renewal",I159*(100%-$C$5),IF(F159="ESD",I159*(100%-$C$3),I159)))))</f>
        <v>49.5</v>
      </c>
      <c r="K159" s="561"/>
    </row>
    <row r="160" spans="1:11" ht="12" customHeight="1" x14ac:dyDescent="0.2">
      <c r="A160" s="83" t="s">
        <v>0</v>
      </c>
      <c r="B160" s="4">
        <v>20512</v>
      </c>
      <c r="C160" s="4"/>
      <c r="D160" s="3" t="s">
        <v>159</v>
      </c>
      <c r="E160" s="3" t="s">
        <v>5</v>
      </c>
      <c r="F160" s="4" t="s">
        <v>346</v>
      </c>
      <c r="G160" s="3" t="s">
        <v>950</v>
      </c>
      <c r="H160" s="3" t="s">
        <v>752</v>
      </c>
      <c r="I160" s="5">
        <v>41.580000000000005</v>
      </c>
      <c r="J160" s="23">
        <f t="shared" si="6"/>
        <v>41.580000000000005</v>
      </c>
      <c r="K160" s="561"/>
    </row>
    <row r="161" spans="1:11" ht="12" customHeight="1" x14ac:dyDescent="0.2">
      <c r="A161" s="83" t="s">
        <v>0</v>
      </c>
      <c r="B161" s="4">
        <v>20513</v>
      </c>
      <c r="C161" s="4"/>
      <c r="D161" s="3" t="s">
        <v>160</v>
      </c>
      <c r="E161" s="3" t="s">
        <v>7</v>
      </c>
      <c r="F161" s="4" t="s">
        <v>346</v>
      </c>
      <c r="G161" s="3" t="s">
        <v>950</v>
      </c>
      <c r="H161" s="3" t="s">
        <v>752</v>
      </c>
      <c r="I161" s="5">
        <v>33.164999999999999</v>
      </c>
      <c r="J161" s="23">
        <f t="shared" si="6"/>
        <v>33.164999999999999</v>
      </c>
      <c r="K161" s="561"/>
    </row>
    <row r="162" spans="1:11" ht="12" customHeight="1" x14ac:dyDescent="0.2">
      <c r="A162" s="83" t="s">
        <v>0</v>
      </c>
      <c r="B162" s="4">
        <v>20514</v>
      </c>
      <c r="C162" s="4"/>
      <c r="D162" s="3" t="s">
        <v>161</v>
      </c>
      <c r="E162" s="3" t="s">
        <v>9</v>
      </c>
      <c r="F162" s="4" t="s">
        <v>346</v>
      </c>
      <c r="G162" s="3" t="s">
        <v>950</v>
      </c>
      <c r="H162" s="3" t="s">
        <v>752</v>
      </c>
      <c r="I162" s="5">
        <v>25.740000000000002</v>
      </c>
      <c r="J162" s="23">
        <f t="shared" si="6"/>
        <v>25.740000000000002</v>
      </c>
      <c r="K162" s="561"/>
    </row>
    <row r="163" spans="1:11" ht="12" customHeight="1" x14ac:dyDescent="0.2">
      <c r="A163" s="83" t="s">
        <v>0</v>
      </c>
      <c r="B163" s="4">
        <v>20515</v>
      </c>
      <c r="C163" s="4"/>
      <c r="D163" s="3" t="s">
        <v>162</v>
      </c>
      <c r="E163" s="3" t="s">
        <v>11</v>
      </c>
      <c r="F163" s="4" t="s">
        <v>346</v>
      </c>
      <c r="G163" s="3" t="s">
        <v>950</v>
      </c>
      <c r="H163" s="3" t="s">
        <v>752</v>
      </c>
      <c r="I163" s="5">
        <v>22.77</v>
      </c>
      <c r="J163" s="23">
        <f t="shared" si="6"/>
        <v>22.77</v>
      </c>
      <c r="K163" s="561"/>
    </row>
    <row r="164" spans="1:11" ht="12" customHeight="1" x14ac:dyDescent="0.2">
      <c r="A164" s="83" t="s">
        <v>0</v>
      </c>
      <c r="B164" s="4">
        <v>20516</v>
      </c>
      <c r="C164" s="4"/>
      <c r="D164" s="3" t="s">
        <v>163</v>
      </c>
      <c r="E164" s="3" t="s">
        <v>13</v>
      </c>
      <c r="F164" s="4" t="s">
        <v>346</v>
      </c>
      <c r="G164" s="3" t="s">
        <v>950</v>
      </c>
      <c r="H164" s="3" t="s">
        <v>752</v>
      </c>
      <c r="I164" s="5">
        <v>19.799999999999997</v>
      </c>
      <c r="J164" s="23">
        <f t="shared" si="6"/>
        <v>19.799999999999997</v>
      </c>
      <c r="K164" s="561"/>
    </row>
    <row r="165" spans="1:11" ht="12" customHeight="1" x14ac:dyDescent="0.2">
      <c r="A165" s="83" t="s">
        <v>0</v>
      </c>
      <c r="B165" s="4">
        <v>20517</v>
      </c>
      <c r="C165" s="4"/>
      <c r="D165" s="3" t="s">
        <v>164</v>
      </c>
      <c r="E165" s="3" t="s">
        <v>15</v>
      </c>
      <c r="F165" s="4" t="s">
        <v>346</v>
      </c>
      <c r="G165" s="3" t="s">
        <v>950</v>
      </c>
      <c r="H165" s="3" t="s">
        <v>752</v>
      </c>
      <c r="I165" s="5">
        <v>17.82</v>
      </c>
      <c r="J165" s="23">
        <f t="shared" si="6"/>
        <v>17.82</v>
      </c>
      <c r="K165" s="561"/>
    </row>
    <row r="166" spans="1:11" ht="12" customHeight="1" x14ac:dyDescent="0.2">
      <c r="A166" s="83" t="s">
        <v>0</v>
      </c>
      <c r="B166" s="4">
        <v>20518</v>
      </c>
      <c r="C166" s="4"/>
      <c r="D166" s="3" t="s">
        <v>165</v>
      </c>
      <c r="E166" s="3" t="s">
        <v>17</v>
      </c>
      <c r="F166" s="4" t="s">
        <v>346</v>
      </c>
      <c r="G166" s="3" t="s">
        <v>950</v>
      </c>
      <c r="H166" s="3" t="s">
        <v>752</v>
      </c>
      <c r="I166" s="5">
        <v>15.84</v>
      </c>
      <c r="J166" s="23">
        <f t="shared" si="6"/>
        <v>15.84</v>
      </c>
      <c r="K166" s="561"/>
    </row>
    <row r="167" spans="1:11" ht="12" customHeight="1" x14ac:dyDescent="0.2">
      <c r="A167" s="83" t="s">
        <v>0</v>
      </c>
      <c r="B167" s="4">
        <v>20521</v>
      </c>
      <c r="C167" s="4"/>
      <c r="D167" s="3" t="s">
        <v>166</v>
      </c>
      <c r="E167" s="3" t="s">
        <v>2</v>
      </c>
      <c r="F167" s="4" t="s">
        <v>346</v>
      </c>
      <c r="G167" s="3" t="s">
        <v>950</v>
      </c>
      <c r="H167" s="3" t="s">
        <v>753</v>
      </c>
      <c r="I167" s="5">
        <v>69.3</v>
      </c>
      <c r="J167" s="23">
        <f t="shared" si="6"/>
        <v>69.3</v>
      </c>
      <c r="K167" s="561"/>
    </row>
    <row r="168" spans="1:11" ht="12" customHeight="1" x14ac:dyDescent="0.2">
      <c r="A168" s="83" t="s">
        <v>0</v>
      </c>
      <c r="B168" s="4">
        <v>20522</v>
      </c>
      <c r="C168" s="4"/>
      <c r="D168" s="3" t="s">
        <v>167</v>
      </c>
      <c r="E168" s="3" t="s">
        <v>5</v>
      </c>
      <c r="F168" s="4" t="s">
        <v>346</v>
      </c>
      <c r="G168" s="3" t="s">
        <v>950</v>
      </c>
      <c r="H168" s="3" t="s">
        <v>753</v>
      </c>
      <c r="I168" s="5">
        <v>61.38</v>
      </c>
      <c r="J168" s="23">
        <f t="shared" si="6"/>
        <v>61.38</v>
      </c>
      <c r="K168" s="561"/>
    </row>
    <row r="169" spans="1:11" ht="12" customHeight="1" x14ac:dyDescent="0.2">
      <c r="A169" s="83" t="s">
        <v>0</v>
      </c>
      <c r="B169" s="4">
        <v>20523</v>
      </c>
      <c r="C169" s="4"/>
      <c r="D169" s="3" t="s">
        <v>168</v>
      </c>
      <c r="E169" s="3" t="s">
        <v>7</v>
      </c>
      <c r="F169" s="4" t="s">
        <v>346</v>
      </c>
      <c r="G169" s="3" t="s">
        <v>950</v>
      </c>
      <c r="H169" s="3" t="s">
        <v>753</v>
      </c>
      <c r="I169" s="5">
        <v>47.519999999999996</v>
      </c>
      <c r="J169" s="23">
        <f t="shared" si="6"/>
        <v>47.519999999999996</v>
      </c>
      <c r="K169" s="561"/>
    </row>
    <row r="170" spans="1:11" ht="12" customHeight="1" x14ac:dyDescent="0.2">
      <c r="A170" s="83" t="s">
        <v>0</v>
      </c>
      <c r="B170" s="4">
        <v>20524</v>
      </c>
      <c r="C170" s="4"/>
      <c r="D170" s="3" t="s">
        <v>169</v>
      </c>
      <c r="E170" s="3" t="s">
        <v>9</v>
      </c>
      <c r="F170" s="4" t="s">
        <v>346</v>
      </c>
      <c r="G170" s="3" t="s">
        <v>950</v>
      </c>
      <c r="H170" s="3" t="s">
        <v>753</v>
      </c>
      <c r="I170" s="5">
        <v>39.599999999999994</v>
      </c>
      <c r="J170" s="23">
        <f t="shared" si="6"/>
        <v>39.599999999999994</v>
      </c>
      <c r="K170" s="561"/>
    </row>
    <row r="171" spans="1:11" ht="12" customHeight="1" x14ac:dyDescent="0.2">
      <c r="A171" s="83" t="s">
        <v>0</v>
      </c>
      <c r="B171" s="4">
        <v>20525</v>
      </c>
      <c r="C171" s="4"/>
      <c r="D171" s="3" t="s">
        <v>170</v>
      </c>
      <c r="E171" s="3" t="s">
        <v>11</v>
      </c>
      <c r="F171" s="4" t="s">
        <v>346</v>
      </c>
      <c r="G171" s="3" t="s">
        <v>950</v>
      </c>
      <c r="H171" s="3" t="s">
        <v>753</v>
      </c>
      <c r="I171" s="5">
        <v>34.65</v>
      </c>
      <c r="J171" s="23">
        <f t="shared" si="6"/>
        <v>34.65</v>
      </c>
      <c r="K171" s="561"/>
    </row>
    <row r="172" spans="1:11" ht="12" customHeight="1" x14ac:dyDescent="0.2">
      <c r="A172" s="83" t="s">
        <v>0</v>
      </c>
      <c r="B172" s="4">
        <v>20526</v>
      </c>
      <c r="C172" s="4"/>
      <c r="D172" s="3" t="s">
        <v>171</v>
      </c>
      <c r="E172" s="3" t="s">
        <v>13</v>
      </c>
      <c r="F172" s="4" t="s">
        <v>346</v>
      </c>
      <c r="G172" s="3" t="s">
        <v>950</v>
      </c>
      <c r="H172" s="3" t="s">
        <v>753</v>
      </c>
      <c r="I172" s="5">
        <v>29.700000000000003</v>
      </c>
      <c r="J172" s="23">
        <f t="shared" si="6"/>
        <v>29.700000000000003</v>
      </c>
      <c r="K172" s="561"/>
    </row>
    <row r="173" spans="1:11" ht="12" customHeight="1" x14ac:dyDescent="0.2">
      <c r="A173" s="83" t="s">
        <v>0</v>
      </c>
      <c r="B173" s="4">
        <v>20527</v>
      </c>
      <c r="C173" s="4"/>
      <c r="D173" s="3" t="s">
        <v>172</v>
      </c>
      <c r="E173" s="3" t="s">
        <v>15</v>
      </c>
      <c r="F173" s="4" t="s">
        <v>346</v>
      </c>
      <c r="G173" s="3" t="s">
        <v>950</v>
      </c>
      <c r="H173" s="3" t="s">
        <v>753</v>
      </c>
      <c r="I173" s="5">
        <v>26.73</v>
      </c>
      <c r="J173" s="23">
        <f t="shared" si="6"/>
        <v>26.73</v>
      </c>
      <c r="K173" s="561"/>
    </row>
    <row r="174" spans="1:11" ht="12" customHeight="1" x14ac:dyDescent="0.2">
      <c r="A174" s="83" t="s">
        <v>0</v>
      </c>
      <c r="B174" s="4">
        <v>20528</v>
      </c>
      <c r="C174" s="4"/>
      <c r="D174" s="3" t="s">
        <v>173</v>
      </c>
      <c r="E174" s="3" t="s">
        <v>17</v>
      </c>
      <c r="F174" s="4" t="s">
        <v>346</v>
      </c>
      <c r="G174" s="3" t="s">
        <v>950</v>
      </c>
      <c r="H174" s="3" t="s">
        <v>753</v>
      </c>
      <c r="I174" s="5">
        <v>24.75</v>
      </c>
      <c r="J174" s="23">
        <f t="shared" si="6"/>
        <v>24.75</v>
      </c>
      <c r="K174" s="561"/>
    </row>
    <row r="175" spans="1:11" ht="12" customHeight="1" x14ac:dyDescent="0.2">
      <c r="A175" s="83" t="s">
        <v>0</v>
      </c>
      <c r="B175" s="4">
        <v>20531</v>
      </c>
      <c r="C175" s="4"/>
      <c r="D175" s="3" t="s">
        <v>174</v>
      </c>
      <c r="E175" s="3" t="s">
        <v>2</v>
      </c>
      <c r="F175" s="4" t="s">
        <v>346</v>
      </c>
      <c r="G175" s="3" t="s">
        <v>950</v>
      </c>
      <c r="H175" s="3" t="s">
        <v>755</v>
      </c>
      <c r="I175" s="5">
        <v>88.11</v>
      </c>
      <c r="J175" s="23">
        <f t="shared" si="6"/>
        <v>88.11</v>
      </c>
      <c r="K175" s="561"/>
    </row>
    <row r="176" spans="1:11" ht="12" customHeight="1" x14ac:dyDescent="0.2">
      <c r="A176" s="83" t="s">
        <v>0</v>
      </c>
      <c r="B176" s="4">
        <v>20532</v>
      </c>
      <c r="C176" s="4"/>
      <c r="D176" s="3" t="s">
        <v>175</v>
      </c>
      <c r="E176" s="3" t="s">
        <v>5</v>
      </c>
      <c r="F176" s="4" t="s">
        <v>346</v>
      </c>
      <c r="G176" s="3" t="s">
        <v>950</v>
      </c>
      <c r="H176" s="3" t="s">
        <v>755</v>
      </c>
      <c r="I176" s="5">
        <v>78.210000000000008</v>
      </c>
      <c r="J176" s="23">
        <f t="shared" si="6"/>
        <v>78.210000000000008</v>
      </c>
      <c r="K176" s="561"/>
    </row>
    <row r="177" spans="1:11" ht="12" customHeight="1" x14ac:dyDescent="0.2">
      <c r="A177" s="83" t="s">
        <v>0</v>
      </c>
      <c r="B177" s="4">
        <v>20533</v>
      </c>
      <c r="C177" s="4"/>
      <c r="D177" s="3" t="s">
        <v>176</v>
      </c>
      <c r="E177" s="3" t="s">
        <v>7</v>
      </c>
      <c r="F177" s="4" t="s">
        <v>346</v>
      </c>
      <c r="G177" s="3" t="s">
        <v>950</v>
      </c>
      <c r="H177" s="3" t="s">
        <v>755</v>
      </c>
      <c r="I177" s="5">
        <v>67.320000000000007</v>
      </c>
      <c r="J177" s="23">
        <f t="shared" si="6"/>
        <v>67.320000000000007</v>
      </c>
      <c r="K177" s="561"/>
    </row>
    <row r="178" spans="1:11" ht="12" customHeight="1" x14ac:dyDescent="0.2">
      <c r="A178" s="83" t="s">
        <v>0</v>
      </c>
      <c r="B178" s="4">
        <v>20534</v>
      </c>
      <c r="C178" s="4"/>
      <c r="D178" s="3" t="s">
        <v>177</v>
      </c>
      <c r="E178" s="3" t="s">
        <v>9</v>
      </c>
      <c r="F178" s="4" t="s">
        <v>346</v>
      </c>
      <c r="G178" s="3" t="s">
        <v>950</v>
      </c>
      <c r="H178" s="3" t="s">
        <v>755</v>
      </c>
      <c r="I178" s="5">
        <v>57.42</v>
      </c>
      <c r="J178" s="23">
        <f t="shared" si="6"/>
        <v>57.42</v>
      </c>
      <c r="K178" s="561"/>
    </row>
    <row r="179" spans="1:11" ht="12" customHeight="1" x14ac:dyDescent="0.2">
      <c r="A179" s="83" t="s">
        <v>0</v>
      </c>
      <c r="B179" s="4">
        <v>20535</v>
      </c>
      <c r="C179" s="4"/>
      <c r="D179" s="3" t="s">
        <v>178</v>
      </c>
      <c r="E179" s="3" t="s">
        <v>11</v>
      </c>
      <c r="F179" s="4" t="s">
        <v>346</v>
      </c>
      <c r="G179" s="3" t="s">
        <v>950</v>
      </c>
      <c r="H179" s="3" t="s">
        <v>755</v>
      </c>
      <c r="I179" s="5">
        <v>48.510000000000005</v>
      </c>
      <c r="J179" s="23">
        <f t="shared" si="6"/>
        <v>48.510000000000005</v>
      </c>
      <c r="K179" s="561"/>
    </row>
    <row r="180" spans="1:11" ht="12" customHeight="1" x14ac:dyDescent="0.2">
      <c r="A180" s="83" t="s">
        <v>0</v>
      </c>
      <c r="B180" s="4">
        <v>20536</v>
      </c>
      <c r="C180" s="4"/>
      <c r="D180" s="3" t="s">
        <v>179</v>
      </c>
      <c r="E180" s="3" t="s">
        <v>13</v>
      </c>
      <c r="F180" s="4" t="s">
        <v>346</v>
      </c>
      <c r="G180" s="3" t="s">
        <v>950</v>
      </c>
      <c r="H180" s="3" t="s">
        <v>755</v>
      </c>
      <c r="I180" s="5">
        <v>40.589999999999996</v>
      </c>
      <c r="J180" s="23">
        <f t="shared" si="6"/>
        <v>40.589999999999996</v>
      </c>
      <c r="K180" s="561"/>
    </row>
    <row r="181" spans="1:11" ht="12" customHeight="1" x14ac:dyDescent="0.2">
      <c r="A181" s="83" t="s">
        <v>0</v>
      </c>
      <c r="B181" s="4">
        <v>20537</v>
      </c>
      <c r="C181" s="4"/>
      <c r="D181" s="3" t="s">
        <v>180</v>
      </c>
      <c r="E181" s="3" t="s">
        <v>15</v>
      </c>
      <c r="F181" s="4" t="s">
        <v>346</v>
      </c>
      <c r="G181" s="3" t="s">
        <v>950</v>
      </c>
      <c r="H181" s="3" t="s">
        <v>755</v>
      </c>
      <c r="I181" s="5">
        <v>36.630000000000003</v>
      </c>
      <c r="J181" s="23">
        <f t="shared" si="6"/>
        <v>36.630000000000003</v>
      </c>
      <c r="K181" s="561"/>
    </row>
    <row r="182" spans="1:11" ht="12" customHeight="1" thickBot="1" x14ac:dyDescent="0.25">
      <c r="A182" s="84" t="s">
        <v>0</v>
      </c>
      <c r="B182" s="24">
        <v>20538</v>
      </c>
      <c r="C182" s="24"/>
      <c r="D182" s="25" t="s">
        <v>181</v>
      </c>
      <c r="E182" s="25" t="s">
        <v>17</v>
      </c>
      <c r="F182" s="24" t="s">
        <v>346</v>
      </c>
      <c r="G182" s="25" t="s">
        <v>950</v>
      </c>
      <c r="H182" s="25" t="s">
        <v>755</v>
      </c>
      <c r="I182" s="5">
        <v>32.67</v>
      </c>
      <c r="J182" s="27">
        <f t="shared" si="6"/>
        <v>32.67</v>
      </c>
      <c r="K182" s="561"/>
    </row>
    <row r="183" spans="1:11" ht="12" customHeight="1" x14ac:dyDescent="0.2">
      <c r="A183" s="101" t="s">
        <v>951</v>
      </c>
      <c r="B183" s="102"/>
      <c r="C183" s="102"/>
      <c r="D183" s="102"/>
      <c r="E183" s="102"/>
      <c r="F183" s="102"/>
      <c r="G183" s="102"/>
      <c r="H183" s="102"/>
      <c r="I183" s="114"/>
      <c r="J183" s="103"/>
    </row>
    <row r="184" spans="1:11" ht="12" customHeight="1" x14ac:dyDescent="0.2">
      <c r="A184" s="85" t="s">
        <v>0</v>
      </c>
      <c r="B184" s="7">
        <v>20561</v>
      </c>
      <c r="C184" s="7"/>
      <c r="D184" s="6" t="s">
        <v>182</v>
      </c>
      <c r="E184" s="6" t="s">
        <v>36</v>
      </c>
      <c r="F184" s="7" t="s">
        <v>347</v>
      </c>
      <c r="G184" s="6" t="s">
        <v>950</v>
      </c>
      <c r="H184" s="6" t="s">
        <v>758</v>
      </c>
      <c r="I184" s="8">
        <v>26.400000000000002</v>
      </c>
      <c r="J184" s="19">
        <f t="shared" ref="J184:J207" si="7">IF(I184="on request","on request",IF(F184="Box",I184*(100%-$C$3),IF(F184="License",I184*(100%-$C$4),IF(F184="Renewal",I184*(100%-$C$5),IF(F184="ESD",I184*(100%-$C$3),I184)))))</f>
        <v>26.400000000000002</v>
      </c>
    </row>
    <row r="185" spans="1:11" ht="12" customHeight="1" x14ac:dyDescent="0.2">
      <c r="A185" s="85" t="s">
        <v>0</v>
      </c>
      <c r="B185" s="7">
        <v>20562</v>
      </c>
      <c r="C185" s="7"/>
      <c r="D185" s="6" t="s">
        <v>183</v>
      </c>
      <c r="E185" s="6" t="s">
        <v>38</v>
      </c>
      <c r="F185" s="7" t="s">
        <v>347</v>
      </c>
      <c r="G185" s="6" t="s">
        <v>950</v>
      </c>
      <c r="H185" s="6" t="s">
        <v>758</v>
      </c>
      <c r="I185" s="8">
        <v>25.872000000000003</v>
      </c>
      <c r="J185" s="19">
        <f t="shared" si="7"/>
        <v>25.872000000000003</v>
      </c>
    </row>
    <row r="186" spans="1:11" ht="12" customHeight="1" x14ac:dyDescent="0.2">
      <c r="A186" s="85" t="s">
        <v>0</v>
      </c>
      <c r="B186" s="7">
        <v>20563</v>
      </c>
      <c r="C186" s="7"/>
      <c r="D186" s="6" t="s">
        <v>184</v>
      </c>
      <c r="E186" s="6" t="s">
        <v>40</v>
      </c>
      <c r="F186" s="7" t="s">
        <v>347</v>
      </c>
      <c r="G186" s="6" t="s">
        <v>950</v>
      </c>
      <c r="H186" s="6" t="s">
        <v>758</v>
      </c>
      <c r="I186" s="8">
        <v>21.753600000000006</v>
      </c>
      <c r="J186" s="19">
        <f t="shared" si="7"/>
        <v>21.753600000000006</v>
      </c>
    </row>
    <row r="187" spans="1:11" ht="12" customHeight="1" x14ac:dyDescent="0.2">
      <c r="A187" s="85" t="s">
        <v>0</v>
      </c>
      <c r="B187" s="7">
        <v>20564</v>
      </c>
      <c r="C187" s="7"/>
      <c r="D187" s="6" t="s">
        <v>185</v>
      </c>
      <c r="E187" s="6" t="s">
        <v>42</v>
      </c>
      <c r="F187" s="7" t="s">
        <v>347</v>
      </c>
      <c r="G187" s="6" t="s">
        <v>950</v>
      </c>
      <c r="H187" s="6" t="s">
        <v>758</v>
      </c>
      <c r="I187" s="8">
        <v>20.380800000000004</v>
      </c>
      <c r="J187" s="19">
        <f t="shared" si="7"/>
        <v>20.380800000000004</v>
      </c>
    </row>
    <row r="188" spans="1:11" ht="12" customHeight="1" x14ac:dyDescent="0.2">
      <c r="A188" s="85" t="s">
        <v>0</v>
      </c>
      <c r="B188" s="7">
        <v>20565</v>
      </c>
      <c r="C188" s="7"/>
      <c r="D188" s="6" t="s">
        <v>186</v>
      </c>
      <c r="E188" s="6" t="s">
        <v>44</v>
      </c>
      <c r="F188" s="7" t="s">
        <v>347</v>
      </c>
      <c r="G188" s="6" t="s">
        <v>950</v>
      </c>
      <c r="H188" s="6" t="s">
        <v>758</v>
      </c>
      <c r="I188" s="8">
        <v>16.526400000000006</v>
      </c>
      <c r="J188" s="19">
        <f t="shared" si="7"/>
        <v>16.526400000000006</v>
      </c>
    </row>
    <row r="189" spans="1:11" ht="12" customHeight="1" x14ac:dyDescent="0.2">
      <c r="A189" s="85" t="s">
        <v>0</v>
      </c>
      <c r="B189" s="7">
        <v>20566</v>
      </c>
      <c r="C189" s="7"/>
      <c r="D189" s="6" t="s">
        <v>187</v>
      </c>
      <c r="E189" s="6" t="s">
        <v>46</v>
      </c>
      <c r="F189" s="7" t="s">
        <v>347</v>
      </c>
      <c r="G189" s="6" t="s">
        <v>950</v>
      </c>
      <c r="H189" s="6" t="s">
        <v>758</v>
      </c>
      <c r="I189" s="8">
        <v>12.94656</v>
      </c>
      <c r="J189" s="19">
        <f t="shared" si="7"/>
        <v>12.94656</v>
      </c>
    </row>
    <row r="190" spans="1:11" ht="12" customHeight="1" x14ac:dyDescent="0.2">
      <c r="A190" s="85" t="s">
        <v>0</v>
      </c>
      <c r="B190" s="7">
        <v>20567</v>
      </c>
      <c r="C190" s="7"/>
      <c r="D190" s="6" t="s">
        <v>188</v>
      </c>
      <c r="E190" s="6" t="s">
        <v>48</v>
      </c>
      <c r="F190" s="7" t="s">
        <v>347</v>
      </c>
      <c r="G190" s="6" t="s">
        <v>950</v>
      </c>
      <c r="H190" s="6" t="s">
        <v>758</v>
      </c>
      <c r="I190" s="8">
        <v>11.225280000000001</v>
      </c>
      <c r="J190" s="19">
        <f t="shared" si="7"/>
        <v>11.225280000000001</v>
      </c>
    </row>
    <row r="191" spans="1:11" ht="12" customHeight="1" x14ac:dyDescent="0.2">
      <c r="A191" s="85" t="s">
        <v>0</v>
      </c>
      <c r="B191" s="7">
        <v>20568</v>
      </c>
      <c r="C191" s="7"/>
      <c r="D191" s="6" t="s">
        <v>189</v>
      </c>
      <c r="E191" s="6" t="s">
        <v>50</v>
      </c>
      <c r="F191" s="7" t="s">
        <v>347</v>
      </c>
      <c r="G191" s="6" t="s">
        <v>950</v>
      </c>
      <c r="H191" s="6" t="s">
        <v>758</v>
      </c>
      <c r="I191" s="8">
        <v>9.6096000000000004</v>
      </c>
      <c r="J191" s="19">
        <f t="shared" si="7"/>
        <v>9.6096000000000004</v>
      </c>
    </row>
    <row r="192" spans="1:11" ht="12" customHeight="1" x14ac:dyDescent="0.2">
      <c r="A192" s="85" t="s">
        <v>0</v>
      </c>
      <c r="B192" s="7">
        <v>20571</v>
      </c>
      <c r="C192" s="7"/>
      <c r="D192" s="6" t="s">
        <v>190</v>
      </c>
      <c r="E192" s="6" t="s">
        <v>36</v>
      </c>
      <c r="F192" s="7" t="s">
        <v>347</v>
      </c>
      <c r="G192" s="6" t="s">
        <v>950</v>
      </c>
      <c r="H192" s="6" t="s">
        <v>759</v>
      </c>
      <c r="I192" s="8">
        <v>46.20000000000001</v>
      </c>
      <c r="J192" s="19">
        <f t="shared" si="7"/>
        <v>46.20000000000001</v>
      </c>
    </row>
    <row r="193" spans="1:10" ht="12" customHeight="1" x14ac:dyDescent="0.2">
      <c r="A193" s="85" t="s">
        <v>0</v>
      </c>
      <c r="B193" s="7">
        <v>20572</v>
      </c>
      <c r="C193" s="7"/>
      <c r="D193" s="6" t="s">
        <v>191</v>
      </c>
      <c r="E193" s="6" t="s">
        <v>38</v>
      </c>
      <c r="F193" s="7" t="s">
        <v>347</v>
      </c>
      <c r="G193" s="6" t="s">
        <v>950</v>
      </c>
      <c r="H193" s="6" t="s">
        <v>759</v>
      </c>
      <c r="I193" s="8">
        <v>45.276000000000003</v>
      </c>
      <c r="J193" s="19">
        <f t="shared" si="7"/>
        <v>45.276000000000003</v>
      </c>
    </row>
    <row r="194" spans="1:10" ht="12" customHeight="1" x14ac:dyDescent="0.2">
      <c r="A194" s="85" t="s">
        <v>0</v>
      </c>
      <c r="B194" s="7">
        <v>20573</v>
      </c>
      <c r="C194" s="7"/>
      <c r="D194" s="6" t="s">
        <v>192</v>
      </c>
      <c r="E194" s="6" t="s">
        <v>40</v>
      </c>
      <c r="F194" s="7" t="s">
        <v>347</v>
      </c>
      <c r="G194" s="6" t="s">
        <v>950</v>
      </c>
      <c r="H194" s="6" t="s">
        <v>759</v>
      </c>
      <c r="I194" s="8">
        <v>38.068800000000003</v>
      </c>
      <c r="J194" s="19">
        <f t="shared" si="7"/>
        <v>38.068800000000003</v>
      </c>
    </row>
    <row r="195" spans="1:10" ht="12" customHeight="1" x14ac:dyDescent="0.2">
      <c r="A195" s="85" t="s">
        <v>0</v>
      </c>
      <c r="B195" s="7">
        <v>20574</v>
      </c>
      <c r="C195" s="7"/>
      <c r="D195" s="6" t="s">
        <v>193</v>
      </c>
      <c r="E195" s="6" t="s">
        <v>42</v>
      </c>
      <c r="F195" s="7" t="s">
        <v>347</v>
      </c>
      <c r="G195" s="6" t="s">
        <v>950</v>
      </c>
      <c r="H195" s="6" t="s">
        <v>759</v>
      </c>
      <c r="I195" s="8">
        <v>35.666400000000003</v>
      </c>
      <c r="J195" s="19">
        <f t="shared" si="7"/>
        <v>35.666400000000003</v>
      </c>
    </row>
    <row r="196" spans="1:10" ht="12" customHeight="1" x14ac:dyDescent="0.2">
      <c r="A196" s="85" t="s">
        <v>0</v>
      </c>
      <c r="B196" s="7">
        <v>20575</v>
      </c>
      <c r="C196" s="7"/>
      <c r="D196" s="6" t="s">
        <v>194</v>
      </c>
      <c r="E196" s="6" t="s">
        <v>44</v>
      </c>
      <c r="F196" s="7" t="s">
        <v>347</v>
      </c>
      <c r="G196" s="6" t="s">
        <v>950</v>
      </c>
      <c r="H196" s="6" t="s">
        <v>759</v>
      </c>
      <c r="I196" s="8">
        <v>28.921199999999999</v>
      </c>
      <c r="J196" s="19">
        <f t="shared" si="7"/>
        <v>28.921199999999999</v>
      </c>
    </row>
    <row r="197" spans="1:10" ht="12" customHeight="1" x14ac:dyDescent="0.2">
      <c r="A197" s="85" t="s">
        <v>0</v>
      </c>
      <c r="B197" s="7">
        <v>20576</v>
      </c>
      <c r="C197" s="7"/>
      <c r="D197" s="6" t="s">
        <v>195</v>
      </c>
      <c r="E197" s="6" t="s">
        <v>46</v>
      </c>
      <c r="F197" s="7" t="s">
        <v>347</v>
      </c>
      <c r="G197" s="6" t="s">
        <v>950</v>
      </c>
      <c r="H197" s="6" t="s">
        <v>759</v>
      </c>
      <c r="I197" s="8">
        <v>22.656480000000002</v>
      </c>
      <c r="J197" s="19">
        <f t="shared" si="7"/>
        <v>22.656480000000002</v>
      </c>
    </row>
    <row r="198" spans="1:10" ht="12" customHeight="1" x14ac:dyDescent="0.2">
      <c r="A198" s="85" t="s">
        <v>0</v>
      </c>
      <c r="B198" s="7">
        <v>20577</v>
      </c>
      <c r="C198" s="7"/>
      <c r="D198" s="6" t="s">
        <v>196</v>
      </c>
      <c r="E198" s="6" t="s">
        <v>48</v>
      </c>
      <c r="F198" s="7" t="s">
        <v>347</v>
      </c>
      <c r="G198" s="6" t="s">
        <v>950</v>
      </c>
      <c r="H198" s="6" t="s">
        <v>759</v>
      </c>
      <c r="I198" s="8">
        <v>19.644240000000003</v>
      </c>
      <c r="J198" s="19">
        <f t="shared" si="7"/>
        <v>19.644240000000003</v>
      </c>
    </row>
    <row r="199" spans="1:10" ht="12" customHeight="1" x14ac:dyDescent="0.2">
      <c r="A199" s="85" t="s">
        <v>0</v>
      </c>
      <c r="B199" s="7">
        <v>20578</v>
      </c>
      <c r="C199" s="7"/>
      <c r="D199" s="6" t="s">
        <v>197</v>
      </c>
      <c r="E199" s="6" t="s">
        <v>50</v>
      </c>
      <c r="F199" s="7" t="s">
        <v>347</v>
      </c>
      <c r="G199" s="6" t="s">
        <v>950</v>
      </c>
      <c r="H199" s="6" t="s">
        <v>759</v>
      </c>
      <c r="I199" s="8">
        <v>17.846399999999999</v>
      </c>
      <c r="J199" s="19">
        <f t="shared" si="7"/>
        <v>17.846399999999999</v>
      </c>
    </row>
    <row r="200" spans="1:10" ht="12" customHeight="1" x14ac:dyDescent="0.2">
      <c r="A200" s="85" t="s">
        <v>0</v>
      </c>
      <c r="B200" s="7">
        <v>20581</v>
      </c>
      <c r="C200" s="7"/>
      <c r="D200" s="6" t="s">
        <v>198</v>
      </c>
      <c r="E200" s="6" t="s">
        <v>36</v>
      </c>
      <c r="F200" s="7" t="s">
        <v>347</v>
      </c>
      <c r="G200" s="6" t="s">
        <v>950</v>
      </c>
      <c r="H200" s="6" t="s">
        <v>760</v>
      </c>
      <c r="I200" s="8">
        <v>66</v>
      </c>
      <c r="J200" s="19">
        <f t="shared" si="7"/>
        <v>66</v>
      </c>
    </row>
    <row r="201" spans="1:10" ht="12" customHeight="1" x14ac:dyDescent="0.2">
      <c r="A201" s="85" t="s">
        <v>0</v>
      </c>
      <c r="B201" s="7">
        <v>20582</v>
      </c>
      <c r="C201" s="7"/>
      <c r="D201" s="6" t="s">
        <v>199</v>
      </c>
      <c r="E201" s="6" t="s">
        <v>38</v>
      </c>
      <c r="F201" s="7" t="s">
        <v>347</v>
      </c>
      <c r="G201" s="6" t="s">
        <v>950</v>
      </c>
      <c r="H201" s="6" t="s">
        <v>760</v>
      </c>
      <c r="I201" s="8">
        <v>64.679999999999993</v>
      </c>
      <c r="J201" s="19">
        <f t="shared" si="7"/>
        <v>64.679999999999993</v>
      </c>
    </row>
    <row r="202" spans="1:10" ht="12" customHeight="1" x14ac:dyDescent="0.2">
      <c r="A202" s="85" t="s">
        <v>0</v>
      </c>
      <c r="B202" s="7">
        <v>20583</v>
      </c>
      <c r="C202" s="7"/>
      <c r="D202" s="6" t="s">
        <v>200</v>
      </c>
      <c r="E202" s="6" t="s">
        <v>40</v>
      </c>
      <c r="F202" s="7" t="s">
        <v>347</v>
      </c>
      <c r="G202" s="6" t="s">
        <v>950</v>
      </c>
      <c r="H202" s="6" t="s">
        <v>760</v>
      </c>
      <c r="I202" s="8">
        <v>54.384000000000007</v>
      </c>
      <c r="J202" s="19">
        <f t="shared" si="7"/>
        <v>54.384000000000007</v>
      </c>
    </row>
    <row r="203" spans="1:10" ht="12" customHeight="1" x14ac:dyDescent="0.2">
      <c r="A203" s="85" t="s">
        <v>0</v>
      </c>
      <c r="B203" s="7">
        <v>20584</v>
      </c>
      <c r="C203" s="7"/>
      <c r="D203" s="6" t="s">
        <v>201</v>
      </c>
      <c r="E203" s="6" t="s">
        <v>42</v>
      </c>
      <c r="F203" s="7" t="s">
        <v>347</v>
      </c>
      <c r="G203" s="6" t="s">
        <v>950</v>
      </c>
      <c r="H203" s="6" t="s">
        <v>760</v>
      </c>
      <c r="I203" s="8">
        <v>50.951999999999998</v>
      </c>
      <c r="J203" s="19">
        <f t="shared" si="7"/>
        <v>50.951999999999998</v>
      </c>
    </row>
    <row r="204" spans="1:10" ht="12" customHeight="1" x14ac:dyDescent="0.2">
      <c r="A204" s="85" t="s">
        <v>0</v>
      </c>
      <c r="B204" s="7">
        <v>20585</v>
      </c>
      <c r="C204" s="7"/>
      <c r="D204" s="6" t="s">
        <v>202</v>
      </c>
      <c r="E204" s="6" t="s">
        <v>44</v>
      </c>
      <c r="F204" s="7" t="s">
        <v>347</v>
      </c>
      <c r="G204" s="6" t="s">
        <v>950</v>
      </c>
      <c r="H204" s="6" t="s">
        <v>760</v>
      </c>
      <c r="I204" s="8">
        <v>41.316000000000003</v>
      </c>
      <c r="J204" s="19">
        <f t="shared" si="7"/>
        <v>41.316000000000003</v>
      </c>
    </row>
    <row r="205" spans="1:10" ht="12" customHeight="1" x14ac:dyDescent="0.2">
      <c r="A205" s="85" t="s">
        <v>0</v>
      </c>
      <c r="B205" s="7">
        <v>20586</v>
      </c>
      <c r="C205" s="7"/>
      <c r="D205" s="6" t="s">
        <v>203</v>
      </c>
      <c r="E205" s="6" t="s">
        <v>46</v>
      </c>
      <c r="F205" s="7" t="s">
        <v>347</v>
      </c>
      <c r="G205" s="6" t="s">
        <v>950</v>
      </c>
      <c r="H205" s="6" t="s">
        <v>760</v>
      </c>
      <c r="I205" s="8">
        <v>32.366400000000006</v>
      </c>
      <c r="J205" s="19">
        <f t="shared" si="7"/>
        <v>32.366400000000006</v>
      </c>
    </row>
    <row r="206" spans="1:10" ht="12" customHeight="1" x14ac:dyDescent="0.2">
      <c r="A206" s="85" t="s">
        <v>0</v>
      </c>
      <c r="B206" s="7">
        <v>20587</v>
      </c>
      <c r="C206" s="7"/>
      <c r="D206" s="6" t="s">
        <v>204</v>
      </c>
      <c r="E206" s="6" t="s">
        <v>48</v>
      </c>
      <c r="F206" s="7" t="s">
        <v>347</v>
      </c>
      <c r="G206" s="6" t="s">
        <v>950</v>
      </c>
      <c r="H206" s="6" t="s">
        <v>760</v>
      </c>
      <c r="I206" s="8">
        <v>28.063200000000009</v>
      </c>
      <c r="J206" s="19">
        <f t="shared" si="7"/>
        <v>28.063200000000009</v>
      </c>
    </row>
    <row r="207" spans="1:10" ht="12" customHeight="1" thickBot="1" x14ac:dyDescent="0.25">
      <c r="A207" s="86" t="s">
        <v>0</v>
      </c>
      <c r="B207" s="20">
        <v>20588</v>
      </c>
      <c r="C207" s="20"/>
      <c r="D207" s="21" t="s">
        <v>205</v>
      </c>
      <c r="E207" s="21" t="s">
        <v>50</v>
      </c>
      <c r="F207" s="20" t="s">
        <v>347</v>
      </c>
      <c r="G207" s="21" t="s">
        <v>950</v>
      </c>
      <c r="H207" s="21" t="s">
        <v>760</v>
      </c>
      <c r="I207" s="423">
        <v>24.024000000000001</v>
      </c>
      <c r="J207" s="22">
        <f t="shared" si="7"/>
        <v>24.024000000000001</v>
      </c>
    </row>
    <row r="208" spans="1:10" ht="12" customHeight="1" x14ac:dyDescent="0.2">
      <c r="A208" s="101" t="s">
        <v>786</v>
      </c>
      <c r="B208" s="102"/>
      <c r="C208" s="102"/>
      <c r="D208" s="102"/>
      <c r="E208" s="102"/>
      <c r="F208" s="102"/>
      <c r="G208" s="102"/>
      <c r="H208" s="102"/>
      <c r="I208" s="102"/>
      <c r="J208" s="103"/>
    </row>
    <row r="209" spans="1:11" ht="12" customHeight="1" x14ac:dyDescent="0.2">
      <c r="A209" s="83" t="s">
        <v>0</v>
      </c>
      <c r="B209" s="4">
        <v>20612</v>
      </c>
      <c r="C209" s="4"/>
      <c r="D209" s="3" t="s">
        <v>304</v>
      </c>
      <c r="E209" s="3" t="s">
        <v>5</v>
      </c>
      <c r="F209" s="4" t="s">
        <v>346</v>
      </c>
      <c r="G209" s="3" t="s">
        <v>303</v>
      </c>
      <c r="H209" s="3" t="s">
        <v>761</v>
      </c>
      <c r="I209" s="5">
        <v>22.5</v>
      </c>
      <c r="J209" s="23">
        <f t="shared" ref="J209:J229" si="8">IF(I209="on request","on request",IF(F209="Box",I209*(100%-$C$3),IF(F209="License",I209*(100%-$C$4),IF(F209="Renewal",I209*(100%-$C$5),IF(F209="ESD",I209*(100%-$C$3),I209)))))</f>
        <v>22.5</v>
      </c>
      <c r="K209" s="561"/>
    </row>
    <row r="210" spans="1:11" ht="12" customHeight="1" x14ac:dyDescent="0.2">
      <c r="A210" s="83" t="s">
        <v>0</v>
      </c>
      <c r="B210" s="4">
        <v>20613</v>
      </c>
      <c r="C210" s="4"/>
      <c r="D210" s="3" t="s">
        <v>305</v>
      </c>
      <c r="E210" s="3" t="s">
        <v>7</v>
      </c>
      <c r="F210" s="4" t="s">
        <v>346</v>
      </c>
      <c r="G210" s="3" t="s">
        <v>303</v>
      </c>
      <c r="H210" s="3" t="s">
        <v>761</v>
      </c>
      <c r="I210" s="5">
        <v>19.5</v>
      </c>
      <c r="J210" s="23">
        <f t="shared" si="8"/>
        <v>19.5</v>
      </c>
      <c r="K210" s="561"/>
    </row>
    <row r="211" spans="1:11" ht="12" customHeight="1" x14ac:dyDescent="0.2">
      <c r="A211" s="83" t="s">
        <v>0</v>
      </c>
      <c r="B211" s="4">
        <v>20614</v>
      </c>
      <c r="C211" s="4"/>
      <c r="D211" s="3" t="s">
        <v>306</v>
      </c>
      <c r="E211" s="3" t="s">
        <v>9</v>
      </c>
      <c r="F211" s="4" t="s">
        <v>346</v>
      </c>
      <c r="G211" s="3" t="s">
        <v>303</v>
      </c>
      <c r="H211" s="3" t="s">
        <v>761</v>
      </c>
      <c r="I211" s="5">
        <v>18</v>
      </c>
      <c r="J211" s="23">
        <f t="shared" si="8"/>
        <v>18</v>
      </c>
      <c r="K211" s="561"/>
    </row>
    <row r="212" spans="1:11" ht="12" customHeight="1" x14ac:dyDescent="0.2">
      <c r="A212" s="83" t="s">
        <v>0</v>
      </c>
      <c r="B212" s="4">
        <v>20615</v>
      </c>
      <c r="C212" s="4"/>
      <c r="D212" s="3" t="s">
        <v>307</v>
      </c>
      <c r="E212" s="3" t="s">
        <v>11</v>
      </c>
      <c r="F212" s="4" t="s">
        <v>346</v>
      </c>
      <c r="G212" s="3" t="s">
        <v>303</v>
      </c>
      <c r="H212" s="3" t="s">
        <v>761</v>
      </c>
      <c r="I212" s="5">
        <v>15.75</v>
      </c>
      <c r="J212" s="23">
        <f t="shared" si="8"/>
        <v>15.75</v>
      </c>
      <c r="K212" s="561"/>
    </row>
    <row r="213" spans="1:11" ht="12" customHeight="1" x14ac:dyDescent="0.2">
      <c r="A213" s="83" t="s">
        <v>0</v>
      </c>
      <c r="B213" s="4">
        <v>20616</v>
      </c>
      <c r="C213" s="4"/>
      <c r="D213" s="3" t="s">
        <v>308</v>
      </c>
      <c r="E213" s="3" t="s">
        <v>13</v>
      </c>
      <c r="F213" s="4" t="s">
        <v>346</v>
      </c>
      <c r="G213" s="3" t="s">
        <v>303</v>
      </c>
      <c r="H213" s="3" t="s">
        <v>761</v>
      </c>
      <c r="I213" s="5">
        <v>12</v>
      </c>
      <c r="J213" s="23">
        <f t="shared" si="8"/>
        <v>12</v>
      </c>
      <c r="K213" s="561"/>
    </row>
    <row r="214" spans="1:11" ht="12" customHeight="1" x14ac:dyDescent="0.2">
      <c r="A214" s="83" t="s">
        <v>0</v>
      </c>
      <c r="B214" s="4">
        <v>20617</v>
      </c>
      <c r="C214" s="4"/>
      <c r="D214" s="3" t="s">
        <v>309</v>
      </c>
      <c r="E214" s="3" t="s">
        <v>15</v>
      </c>
      <c r="F214" s="4" t="s">
        <v>346</v>
      </c>
      <c r="G214" s="3" t="s">
        <v>303</v>
      </c>
      <c r="H214" s="3" t="s">
        <v>761</v>
      </c>
      <c r="I214" s="5">
        <v>9.3000000000000007</v>
      </c>
      <c r="J214" s="23">
        <f t="shared" si="8"/>
        <v>9.3000000000000007</v>
      </c>
      <c r="K214" s="561"/>
    </row>
    <row r="215" spans="1:11" ht="12" customHeight="1" x14ac:dyDescent="0.2">
      <c r="A215" s="83" t="s">
        <v>0</v>
      </c>
      <c r="B215" s="4">
        <v>20618</v>
      </c>
      <c r="C215" s="4"/>
      <c r="D215" s="3" t="s">
        <v>310</v>
      </c>
      <c r="E215" s="3" t="s">
        <v>17</v>
      </c>
      <c r="F215" s="4" t="s">
        <v>346</v>
      </c>
      <c r="G215" s="3" t="s">
        <v>303</v>
      </c>
      <c r="H215" s="3" t="s">
        <v>761</v>
      </c>
      <c r="I215" s="5">
        <v>6.8999999999999995</v>
      </c>
      <c r="J215" s="23">
        <f t="shared" si="8"/>
        <v>6.8999999999999995</v>
      </c>
      <c r="K215" s="561"/>
    </row>
    <row r="216" spans="1:11" ht="12" customHeight="1" x14ac:dyDescent="0.2">
      <c r="A216" s="83" t="s">
        <v>0</v>
      </c>
      <c r="B216" s="4">
        <v>20622</v>
      </c>
      <c r="C216" s="4"/>
      <c r="D216" s="3" t="s">
        <v>311</v>
      </c>
      <c r="E216" s="3" t="s">
        <v>5</v>
      </c>
      <c r="F216" s="4" t="s">
        <v>346</v>
      </c>
      <c r="G216" s="3" t="s">
        <v>303</v>
      </c>
      <c r="H216" s="3" t="s">
        <v>762</v>
      </c>
      <c r="I216" s="5">
        <v>28.125</v>
      </c>
      <c r="J216" s="23">
        <f t="shared" si="8"/>
        <v>28.125</v>
      </c>
      <c r="K216" s="561"/>
    </row>
    <row r="217" spans="1:11" ht="12" customHeight="1" x14ac:dyDescent="0.2">
      <c r="A217" s="83" t="s">
        <v>0</v>
      </c>
      <c r="B217" s="4">
        <v>20623</v>
      </c>
      <c r="C217" s="4"/>
      <c r="D217" s="3" t="s">
        <v>312</v>
      </c>
      <c r="E217" s="3" t="s">
        <v>7</v>
      </c>
      <c r="F217" s="4" t="s">
        <v>346</v>
      </c>
      <c r="G217" s="3" t="s">
        <v>303</v>
      </c>
      <c r="H217" s="3" t="s">
        <v>762</v>
      </c>
      <c r="I217" s="5">
        <v>24.5625</v>
      </c>
      <c r="J217" s="23">
        <f t="shared" si="8"/>
        <v>24.5625</v>
      </c>
      <c r="K217" s="561"/>
    </row>
    <row r="218" spans="1:11" ht="12" customHeight="1" x14ac:dyDescent="0.2">
      <c r="A218" s="83" t="s">
        <v>0</v>
      </c>
      <c r="B218" s="4">
        <v>20624</v>
      </c>
      <c r="C218" s="4"/>
      <c r="D218" s="3" t="s">
        <v>313</v>
      </c>
      <c r="E218" s="3" t="s">
        <v>9</v>
      </c>
      <c r="F218" s="4" t="s">
        <v>346</v>
      </c>
      <c r="G218" s="3" t="s">
        <v>303</v>
      </c>
      <c r="H218" s="3" t="s">
        <v>762</v>
      </c>
      <c r="I218" s="5">
        <v>21.9375</v>
      </c>
      <c r="J218" s="23">
        <f t="shared" si="8"/>
        <v>21.9375</v>
      </c>
      <c r="K218" s="561"/>
    </row>
    <row r="219" spans="1:11" ht="12" customHeight="1" x14ac:dyDescent="0.2">
      <c r="A219" s="83" t="s">
        <v>0</v>
      </c>
      <c r="B219" s="4">
        <v>20625</v>
      </c>
      <c r="C219" s="4"/>
      <c r="D219" s="3" t="s">
        <v>314</v>
      </c>
      <c r="E219" s="3" t="s">
        <v>11</v>
      </c>
      <c r="F219" s="4" t="s">
        <v>346</v>
      </c>
      <c r="G219" s="3" t="s">
        <v>303</v>
      </c>
      <c r="H219" s="3" t="s">
        <v>762</v>
      </c>
      <c r="I219" s="5">
        <v>18.8475</v>
      </c>
      <c r="J219" s="23">
        <f t="shared" si="8"/>
        <v>18.8475</v>
      </c>
      <c r="K219" s="561"/>
    </row>
    <row r="220" spans="1:11" ht="12" customHeight="1" x14ac:dyDescent="0.2">
      <c r="A220" s="83" t="s">
        <v>0</v>
      </c>
      <c r="B220" s="4">
        <v>20626</v>
      </c>
      <c r="C220" s="4"/>
      <c r="D220" s="3" t="s">
        <v>315</v>
      </c>
      <c r="E220" s="3" t="s">
        <v>13</v>
      </c>
      <c r="F220" s="4" t="s">
        <v>346</v>
      </c>
      <c r="G220" s="3" t="s">
        <v>303</v>
      </c>
      <c r="H220" s="3" t="s">
        <v>762</v>
      </c>
      <c r="I220" s="5">
        <v>14.962499999999999</v>
      </c>
      <c r="J220" s="23">
        <f t="shared" si="8"/>
        <v>14.962499999999999</v>
      </c>
      <c r="K220" s="561"/>
    </row>
    <row r="221" spans="1:11" ht="12" customHeight="1" x14ac:dyDescent="0.2">
      <c r="A221" s="83" t="s">
        <v>0</v>
      </c>
      <c r="B221" s="4">
        <v>20627</v>
      </c>
      <c r="C221" s="4"/>
      <c r="D221" s="3" t="s">
        <v>316</v>
      </c>
      <c r="E221" s="3" t="s">
        <v>15</v>
      </c>
      <c r="F221" s="4" t="s">
        <v>346</v>
      </c>
      <c r="G221" s="3" t="s">
        <v>303</v>
      </c>
      <c r="H221" s="3" t="s">
        <v>762</v>
      </c>
      <c r="I221" s="5">
        <v>11.272499999999999</v>
      </c>
      <c r="J221" s="23">
        <f t="shared" si="8"/>
        <v>11.272499999999999</v>
      </c>
      <c r="K221" s="561"/>
    </row>
    <row r="222" spans="1:11" ht="12" customHeight="1" x14ac:dyDescent="0.2">
      <c r="A222" s="83" t="s">
        <v>0</v>
      </c>
      <c r="B222" s="4">
        <v>20628</v>
      </c>
      <c r="C222" s="4"/>
      <c r="D222" s="3" t="s">
        <v>317</v>
      </c>
      <c r="E222" s="3" t="s">
        <v>17</v>
      </c>
      <c r="F222" s="4" t="s">
        <v>346</v>
      </c>
      <c r="G222" s="3" t="s">
        <v>303</v>
      </c>
      <c r="H222" s="3" t="s">
        <v>762</v>
      </c>
      <c r="I222" s="5">
        <v>8.5500000000000007</v>
      </c>
      <c r="J222" s="23">
        <f t="shared" si="8"/>
        <v>8.5500000000000007</v>
      </c>
      <c r="K222" s="561"/>
    </row>
    <row r="223" spans="1:11" ht="12" customHeight="1" x14ac:dyDescent="0.2">
      <c r="A223" s="83" t="s">
        <v>0</v>
      </c>
      <c r="B223" s="4">
        <v>20632</v>
      </c>
      <c r="C223" s="4"/>
      <c r="D223" s="3" t="s">
        <v>318</v>
      </c>
      <c r="E223" s="3" t="s">
        <v>5</v>
      </c>
      <c r="F223" s="4" t="s">
        <v>346</v>
      </c>
      <c r="G223" s="3" t="s">
        <v>303</v>
      </c>
      <c r="H223" s="3" t="s">
        <v>763</v>
      </c>
      <c r="I223" s="5">
        <v>34.5</v>
      </c>
      <c r="J223" s="23">
        <f t="shared" si="8"/>
        <v>34.5</v>
      </c>
      <c r="K223" s="561"/>
    </row>
    <row r="224" spans="1:11" ht="12" customHeight="1" x14ac:dyDescent="0.2">
      <c r="A224" s="83" t="s">
        <v>0</v>
      </c>
      <c r="B224" s="4">
        <v>20633</v>
      </c>
      <c r="C224" s="4"/>
      <c r="D224" s="3" t="s">
        <v>319</v>
      </c>
      <c r="E224" s="3" t="s">
        <v>7</v>
      </c>
      <c r="F224" s="4" t="s">
        <v>346</v>
      </c>
      <c r="G224" s="3" t="s">
        <v>303</v>
      </c>
      <c r="H224" s="3" t="s">
        <v>763</v>
      </c>
      <c r="I224" s="5">
        <v>30.75</v>
      </c>
      <c r="J224" s="23">
        <f t="shared" si="8"/>
        <v>30.75</v>
      </c>
      <c r="K224" s="561"/>
    </row>
    <row r="225" spans="1:11" ht="12" customHeight="1" x14ac:dyDescent="0.2">
      <c r="A225" s="83" t="s">
        <v>0</v>
      </c>
      <c r="B225" s="4">
        <v>20634</v>
      </c>
      <c r="C225" s="4"/>
      <c r="D225" s="3" t="s">
        <v>320</v>
      </c>
      <c r="E225" s="3" t="s">
        <v>9</v>
      </c>
      <c r="F225" s="4" t="s">
        <v>346</v>
      </c>
      <c r="G225" s="3" t="s">
        <v>303</v>
      </c>
      <c r="H225" s="3" t="s">
        <v>763</v>
      </c>
      <c r="I225" s="5">
        <v>27.75</v>
      </c>
      <c r="J225" s="23">
        <f t="shared" si="8"/>
        <v>27.75</v>
      </c>
      <c r="K225" s="561"/>
    </row>
    <row r="226" spans="1:11" ht="12" customHeight="1" x14ac:dyDescent="0.2">
      <c r="A226" s="83" t="s">
        <v>0</v>
      </c>
      <c r="B226" s="4">
        <v>20635</v>
      </c>
      <c r="C226" s="4"/>
      <c r="D226" s="3" t="s">
        <v>321</v>
      </c>
      <c r="E226" s="3" t="s">
        <v>11</v>
      </c>
      <c r="F226" s="4" t="s">
        <v>346</v>
      </c>
      <c r="G226" s="3" t="s">
        <v>303</v>
      </c>
      <c r="H226" s="3" t="s">
        <v>763</v>
      </c>
      <c r="I226" s="5">
        <v>24.375</v>
      </c>
      <c r="J226" s="23">
        <f t="shared" si="8"/>
        <v>24.375</v>
      </c>
      <c r="K226" s="561"/>
    </row>
    <row r="227" spans="1:11" ht="12" customHeight="1" x14ac:dyDescent="0.2">
      <c r="A227" s="83" t="s">
        <v>0</v>
      </c>
      <c r="B227" s="4">
        <v>20636</v>
      </c>
      <c r="C227" s="4"/>
      <c r="D227" s="3" t="s">
        <v>322</v>
      </c>
      <c r="E227" s="3" t="s">
        <v>13</v>
      </c>
      <c r="F227" s="4" t="s">
        <v>346</v>
      </c>
      <c r="G227" s="3" t="s">
        <v>303</v>
      </c>
      <c r="H227" s="3" t="s">
        <v>763</v>
      </c>
      <c r="I227" s="5">
        <v>19.5</v>
      </c>
      <c r="J227" s="23">
        <f t="shared" si="8"/>
        <v>19.5</v>
      </c>
      <c r="K227" s="561"/>
    </row>
    <row r="228" spans="1:11" ht="12" customHeight="1" x14ac:dyDescent="0.2">
      <c r="A228" s="83" t="s">
        <v>0</v>
      </c>
      <c r="B228" s="4">
        <v>20637</v>
      </c>
      <c r="C228" s="4"/>
      <c r="D228" s="3" t="s">
        <v>323</v>
      </c>
      <c r="E228" s="3" t="s">
        <v>15</v>
      </c>
      <c r="F228" s="4" t="s">
        <v>346</v>
      </c>
      <c r="G228" s="3" t="s">
        <v>303</v>
      </c>
      <c r="H228" s="3" t="s">
        <v>763</v>
      </c>
      <c r="I228" s="5">
        <v>15.862499999999999</v>
      </c>
      <c r="J228" s="23">
        <f t="shared" si="8"/>
        <v>15.862499999999999</v>
      </c>
      <c r="K228" s="561"/>
    </row>
    <row r="229" spans="1:11" ht="12" customHeight="1" thickBot="1" x14ac:dyDescent="0.25">
      <c r="A229" s="84" t="s">
        <v>0</v>
      </c>
      <c r="B229" s="24">
        <v>20638</v>
      </c>
      <c r="C229" s="24"/>
      <c r="D229" s="25" t="s">
        <v>324</v>
      </c>
      <c r="E229" s="25" t="s">
        <v>17</v>
      </c>
      <c r="F229" s="24" t="s">
        <v>346</v>
      </c>
      <c r="G229" s="25" t="s">
        <v>303</v>
      </c>
      <c r="H229" s="3" t="s">
        <v>763</v>
      </c>
      <c r="I229" s="5">
        <v>12.975000000000001</v>
      </c>
      <c r="J229" s="23">
        <f t="shared" si="8"/>
        <v>12.975000000000001</v>
      </c>
      <c r="K229" s="561"/>
    </row>
    <row r="230" spans="1:11" ht="12" customHeight="1" x14ac:dyDescent="0.2">
      <c r="A230" s="101" t="s">
        <v>787</v>
      </c>
      <c r="B230" s="102"/>
      <c r="C230" s="102"/>
      <c r="D230" s="102"/>
      <c r="E230" s="102"/>
      <c r="F230" s="102"/>
      <c r="G230" s="102"/>
      <c r="H230" s="102"/>
      <c r="I230" s="102"/>
      <c r="J230" s="103"/>
    </row>
    <row r="231" spans="1:11" ht="12" customHeight="1" x14ac:dyDescent="0.2">
      <c r="A231" s="85" t="s">
        <v>0</v>
      </c>
      <c r="B231" s="7">
        <v>20662</v>
      </c>
      <c r="C231" s="7"/>
      <c r="D231" s="6" t="s">
        <v>325</v>
      </c>
      <c r="E231" s="6" t="s">
        <v>38</v>
      </c>
      <c r="F231" s="7" t="s">
        <v>347</v>
      </c>
      <c r="G231" s="6" t="s">
        <v>303</v>
      </c>
      <c r="H231" s="6" t="s">
        <v>764</v>
      </c>
      <c r="I231" s="8">
        <v>8</v>
      </c>
      <c r="J231" s="19">
        <f t="shared" ref="J231:J251" si="9">IF(I231="on request","on request",IF(F231="Box",I231*(100%-$C$3),IF(F231="License",I231*(100%-$C$4),IF(F231="Renewal",I231*(100%-$C$5),IF(F231="ESD",I231*(100%-$C$3),I231)))))</f>
        <v>8</v>
      </c>
    </row>
    <row r="232" spans="1:11" ht="12" customHeight="1" x14ac:dyDescent="0.2">
      <c r="A232" s="85" t="s">
        <v>0</v>
      </c>
      <c r="B232" s="7">
        <v>20663</v>
      </c>
      <c r="C232" s="7"/>
      <c r="D232" s="6" t="s">
        <v>326</v>
      </c>
      <c r="E232" s="6" t="s">
        <v>40</v>
      </c>
      <c r="F232" s="7" t="s">
        <v>347</v>
      </c>
      <c r="G232" s="6" t="s">
        <v>303</v>
      </c>
      <c r="H232" s="6" t="s">
        <v>764</v>
      </c>
      <c r="I232" s="8">
        <v>7.2</v>
      </c>
      <c r="J232" s="19">
        <f t="shared" si="9"/>
        <v>7.2</v>
      </c>
    </row>
    <row r="233" spans="1:11" ht="12" customHeight="1" x14ac:dyDescent="0.2">
      <c r="A233" s="85" t="s">
        <v>0</v>
      </c>
      <c r="B233" s="7">
        <v>20664</v>
      </c>
      <c r="C233" s="7"/>
      <c r="D233" s="6" t="s">
        <v>327</v>
      </c>
      <c r="E233" s="6" t="s">
        <v>42</v>
      </c>
      <c r="F233" s="7" t="s">
        <v>347</v>
      </c>
      <c r="G233" s="6" t="s">
        <v>303</v>
      </c>
      <c r="H233" s="6" t="s">
        <v>764</v>
      </c>
      <c r="I233" s="8">
        <v>6.4</v>
      </c>
      <c r="J233" s="19">
        <f t="shared" si="9"/>
        <v>6.4</v>
      </c>
    </row>
    <row r="234" spans="1:11" ht="12" customHeight="1" x14ac:dyDescent="0.2">
      <c r="A234" s="91" t="s">
        <v>0</v>
      </c>
      <c r="B234" s="10">
        <v>20665</v>
      </c>
      <c r="C234" s="10"/>
      <c r="D234" s="9" t="s">
        <v>328</v>
      </c>
      <c r="E234" s="9" t="s">
        <v>44</v>
      </c>
      <c r="F234" s="7" t="s">
        <v>347</v>
      </c>
      <c r="G234" s="9" t="s">
        <v>303</v>
      </c>
      <c r="H234" s="9" t="s">
        <v>764</v>
      </c>
      <c r="I234" s="8">
        <v>5.6000000000000005</v>
      </c>
      <c r="J234" s="19">
        <f t="shared" si="9"/>
        <v>5.6000000000000005</v>
      </c>
    </row>
    <row r="235" spans="1:11" ht="12" customHeight="1" x14ac:dyDescent="0.2">
      <c r="A235" s="85" t="s">
        <v>0</v>
      </c>
      <c r="B235" s="10">
        <v>20666</v>
      </c>
      <c r="C235" s="10"/>
      <c r="D235" s="9" t="s">
        <v>329</v>
      </c>
      <c r="E235" s="6" t="s">
        <v>46</v>
      </c>
      <c r="F235" s="7" t="s">
        <v>347</v>
      </c>
      <c r="G235" s="6" t="s">
        <v>303</v>
      </c>
      <c r="H235" s="9" t="s">
        <v>764</v>
      </c>
      <c r="I235" s="8">
        <v>4.8000000000000007</v>
      </c>
      <c r="J235" s="19">
        <f t="shared" si="9"/>
        <v>4.8000000000000007</v>
      </c>
    </row>
    <row r="236" spans="1:11" ht="12" customHeight="1" x14ac:dyDescent="0.2">
      <c r="A236" s="85" t="s">
        <v>0</v>
      </c>
      <c r="B236" s="10">
        <v>20667</v>
      </c>
      <c r="C236" s="10"/>
      <c r="D236" s="9" t="s">
        <v>330</v>
      </c>
      <c r="E236" s="6" t="s">
        <v>48</v>
      </c>
      <c r="F236" s="7" t="s">
        <v>347</v>
      </c>
      <c r="G236" s="6" t="s">
        <v>303</v>
      </c>
      <c r="H236" s="9" t="s">
        <v>764</v>
      </c>
      <c r="I236" s="8">
        <v>4.4000000000000004</v>
      </c>
      <c r="J236" s="19">
        <f t="shared" si="9"/>
        <v>4.4000000000000004</v>
      </c>
    </row>
    <row r="237" spans="1:11" ht="12" customHeight="1" x14ac:dyDescent="0.2">
      <c r="A237" s="91" t="s">
        <v>0</v>
      </c>
      <c r="B237" s="10">
        <v>20668</v>
      </c>
      <c r="C237" s="10"/>
      <c r="D237" s="9" t="s">
        <v>331</v>
      </c>
      <c r="E237" s="6" t="s">
        <v>50</v>
      </c>
      <c r="F237" s="7" t="s">
        <v>347</v>
      </c>
      <c r="G237" s="6" t="s">
        <v>303</v>
      </c>
      <c r="H237" s="9" t="s">
        <v>764</v>
      </c>
      <c r="I237" s="8">
        <v>4</v>
      </c>
      <c r="J237" s="19">
        <f t="shared" si="9"/>
        <v>4</v>
      </c>
    </row>
    <row r="238" spans="1:11" ht="12" customHeight="1" x14ac:dyDescent="0.2">
      <c r="A238" s="85" t="s">
        <v>0</v>
      </c>
      <c r="B238" s="7">
        <v>20672</v>
      </c>
      <c r="C238" s="7"/>
      <c r="D238" s="6" t="s">
        <v>332</v>
      </c>
      <c r="E238" s="6" t="s">
        <v>38</v>
      </c>
      <c r="F238" s="7" t="s">
        <v>347</v>
      </c>
      <c r="G238" s="6" t="s">
        <v>303</v>
      </c>
      <c r="H238" s="6" t="s">
        <v>765</v>
      </c>
      <c r="I238" s="8">
        <v>14</v>
      </c>
      <c r="J238" s="19">
        <f t="shared" si="9"/>
        <v>14</v>
      </c>
    </row>
    <row r="239" spans="1:11" ht="12" customHeight="1" x14ac:dyDescent="0.2">
      <c r="A239" s="85" t="s">
        <v>0</v>
      </c>
      <c r="B239" s="7">
        <v>20673</v>
      </c>
      <c r="C239" s="7"/>
      <c r="D239" s="6" t="s">
        <v>333</v>
      </c>
      <c r="E239" s="6" t="s">
        <v>40</v>
      </c>
      <c r="F239" s="7" t="s">
        <v>347</v>
      </c>
      <c r="G239" s="6" t="s">
        <v>303</v>
      </c>
      <c r="H239" s="6" t="s">
        <v>765</v>
      </c>
      <c r="I239" s="8">
        <v>12.600000000000001</v>
      </c>
      <c r="J239" s="19">
        <f t="shared" si="9"/>
        <v>12.600000000000001</v>
      </c>
    </row>
    <row r="240" spans="1:11" ht="12" customHeight="1" x14ac:dyDescent="0.2">
      <c r="A240" s="85" t="s">
        <v>0</v>
      </c>
      <c r="B240" s="7">
        <v>20674</v>
      </c>
      <c r="C240" s="7"/>
      <c r="D240" s="6" t="s">
        <v>334</v>
      </c>
      <c r="E240" s="6" t="s">
        <v>42</v>
      </c>
      <c r="F240" s="7" t="s">
        <v>347</v>
      </c>
      <c r="G240" s="6" t="s">
        <v>303</v>
      </c>
      <c r="H240" s="6" t="s">
        <v>765</v>
      </c>
      <c r="I240" s="8">
        <v>11.200000000000001</v>
      </c>
      <c r="J240" s="19">
        <f t="shared" si="9"/>
        <v>11.200000000000001</v>
      </c>
    </row>
    <row r="241" spans="1:11" ht="12" customHeight="1" x14ac:dyDescent="0.2">
      <c r="A241" s="91" t="s">
        <v>0</v>
      </c>
      <c r="B241" s="10">
        <v>20675</v>
      </c>
      <c r="C241" s="10"/>
      <c r="D241" s="9" t="s">
        <v>335</v>
      </c>
      <c r="E241" s="9" t="s">
        <v>44</v>
      </c>
      <c r="F241" s="7" t="s">
        <v>347</v>
      </c>
      <c r="G241" s="9" t="s">
        <v>303</v>
      </c>
      <c r="H241" s="6" t="s">
        <v>765</v>
      </c>
      <c r="I241" s="8">
        <v>9.8000000000000007</v>
      </c>
      <c r="J241" s="19">
        <f t="shared" si="9"/>
        <v>9.8000000000000007</v>
      </c>
    </row>
    <row r="242" spans="1:11" ht="12" customHeight="1" x14ac:dyDescent="0.2">
      <c r="A242" s="85" t="s">
        <v>0</v>
      </c>
      <c r="B242" s="10">
        <v>20676</v>
      </c>
      <c r="C242" s="10"/>
      <c r="D242" s="9" t="s">
        <v>336</v>
      </c>
      <c r="E242" s="6" t="s">
        <v>46</v>
      </c>
      <c r="F242" s="7" t="s">
        <v>347</v>
      </c>
      <c r="G242" s="6" t="s">
        <v>303</v>
      </c>
      <c r="H242" s="6" t="s">
        <v>765</v>
      </c>
      <c r="I242" s="8">
        <v>8.4</v>
      </c>
      <c r="J242" s="19">
        <f t="shared" si="9"/>
        <v>8.4</v>
      </c>
    </row>
    <row r="243" spans="1:11" ht="12" customHeight="1" x14ac:dyDescent="0.2">
      <c r="A243" s="85" t="s">
        <v>0</v>
      </c>
      <c r="B243" s="10">
        <v>20677</v>
      </c>
      <c r="C243" s="10"/>
      <c r="D243" s="9" t="s">
        <v>337</v>
      </c>
      <c r="E243" s="6" t="s">
        <v>48</v>
      </c>
      <c r="F243" s="7" t="s">
        <v>347</v>
      </c>
      <c r="G243" s="6" t="s">
        <v>303</v>
      </c>
      <c r="H243" s="6" t="s">
        <v>765</v>
      </c>
      <c r="I243" s="8">
        <v>7.7</v>
      </c>
      <c r="J243" s="19">
        <f t="shared" si="9"/>
        <v>7.7</v>
      </c>
    </row>
    <row r="244" spans="1:11" ht="12" customHeight="1" x14ac:dyDescent="0.2">
      <c r="A244" s="91" t="s">
        <v>0</v>
      </c>
      <c r="B244" s="10">
        <v>20678</v>
      </c>
      <c r="C244" s="10"/>
      <c r="D244" s="9" t="s">
        <v>338</v>
      </c>
      <c r="E244" s="6" t="s">
        <v>50</v>
      </c>
      <c r="F244" s="7" t="s">
        <v>347</v>
      </c>
      <c r="G244" s="6" t="s">
        <v>303</v>
      </c>
      <c r="H244" s="6" t="s">
        <v>765</v>
      </c>
      <c r="I244" s="8">
        <v>7.2</v>
      </c>
      <c r="J244" s="19">
        <f t="shared" si="9"/>
        <v>7.2</v>
      </c>
    </row>
    <row r="245" spans="1:11" ht="12" customHeight="1" x14ac:dyDescent="0.2">
      <c r="A245" s="85" t="s">
        <v>0</v>
      </c>
      <c r="B245" s="7">
        <v>20682</v>
      </c>
      <c r="C245" s="7"/>
      <c r="D245" s="6" t="s">
        <v>339</v>
      </c>
      <c r="E245" s="6" t="s">
        <v>38</v>
      </c>
      <c r="F245" s="7" t="s">
        <v>347</v>
      </c>
      <c r="G245" s="6" t="s">
        <v>303</v>
      </c>
      <c r="H245" s="6" t="s">
        <v>766</v>
      </c>
      <c r="I245" s="8">
        <v>20</v>
      </c>
      <c r="J245" s="19">
        <f t="shared" si="9"/>
        <v>20</v>
      </c>
    </row>
    <row r="246" spans="1:11" ht="12" customHeight="1" x14ac:dyDescent="0.2">
      <c r="A246" s="85" t="s">
        <v>0</v>
      </c>
      <c r="B246" s="7">
        <v>20683</v>
      </c>
      <c r="C246" s="7"/>
      <c r="D246" s="6" t="s">
        <v>340</v>
      </c>
      <c r="E246" s="6" t="s">
        <v>40</v>
      </c>
      <c r="F246" s="7" t="s">
        <v>347</v>
      </c>
      <c r="G246" s="6" t="s">
        <v>303</v>
      </c>
      <c r="H246" s="6" t="s">
        <v>766</v>
      </c>
      <c r="I246" s="8">
        <v>18</v>
      </c>
      <c r="J246" s="19">
        <f t="shared" si="9"/>
        <v>18</v>
      </c>
    </row>
    <row r="247" spans="1:11" ht="12" customHeight="1" x14ac:dyDescent="0.2">
      <c r="A247" s="85" t="s">
        <v>0</v>
      </c>
      <c r="B247" s="7">
        <v>20684</v>
      </c>
      <c r="C247" s="7"/>
      <c r="D247" s="6" t="s">
        <v>341</v>
      </c>
      <c r="E247" s="6" t="s">
        <v>42</v>
      </c>
      <c r="F247" s="7" t="s">
        <v>347</v>
      </c>
      <c r="G247" s="6" t="s">
        <v>303</v>
      </c>
      <c r="H247" s="6" t="s">
        <v>766</v>
      </c>
      <c r="I247" s="8">
        <v>16</v>
      </c>
      <c r="J247" s="19">
        <f t="shared" si="9"/>
        <v>16</v>
      </c>
    </row>
    <row r="248" spans="1:11" ht="12" customHeight="1" x14ac:dyDescent="0.2">
      <c r="A248" s="91" t="s">
        <v>0</v>
      </c>
      <c r="B248" s="10">
        <v>20685</v>
      </c>
      <c r="C248" s="10"/>
      <c r="D248" s="9" t="s">
        <v>342</v>
      </c>
      <c r="E248" s="9" t="s">
        <v>44</v>
      </c>
      <c r="F248" s="7" t="s">
        <v>347</v>
      </c>
      <c r="G248" s="9" t="s">
        <v>303</v>
      </c>
      <c r="H248" s="6" t="s">
        <v>766</v>
      </c>
      <c r="I248" s="8">
        <v>14</v>
      </c>
      <c r="J248" s="19">
        <f t="shared" si="9"/>
        <v>14</v>
      </c>
    </row>
    <row r="249" spans="1:11" ht="12" customHeight="1" x14ac:dyDescent="0.2">
      <c r="A249" s="85" t="s">
        <v>0</v>
      </c>
      <c r="B249" s="10">
        <v>20686</v>
      </c>
      <c r="C249" s="10"/>
      <c r="D249" s="9" t="s">
        <v>343</v>
      </c>
      <c r="E249" s="6" t="s">
        <v>46</v>
      </c>
      <c r="F249" s="7" t="s">
        <v>347</v>
      </c>
      <c r="G249" s="6" t="s">
        <v>303</v>
      </c>
      <c r="H249" s="6" t="s">
        <v>766</v>
      </c>
      <c r="I249" s="8">
        <v>12</v>
      </c>
      <c r="J249" s="19">
        <f t="shared" si="9"/>
        <v>12</v>
      </c>
    </row>
    <row r="250" spans="1:11" ht="12" customHeight="1" x14ac:dyDescent="0.2">
      <c r="A250" s="85" t="s">
        <v>0</v>
      </c>
      <c r="B250" s="10">
        <v>20687</v>
      </c>
      <c r="C250" s="10"/>
      <c r="D250" s="9" t="s">
        <v>344</v>
      </c>
      <c r="E250" s="6" t="s">
        <v>48</v>
      </c>
      <c r="F250" s="7" t="s">
        <v>347</v>
      </c>
      <c r="G250" s="6" t="s">
        <v>303</v>
      </c>
      <c r="H250" s="6" t="s">
        <v>766</v>
      </c>
      <c r="I250" s="8">
        <v>11</v>
      </c>
      <c r="J250" s="19">
        <f t="shared" si="9"/>
        <v>11</v>
      </c>
    </row>
    <row r="251" spans="1:11" ht="12" customHeight="1" thickBot="1" x14ac:dyDescent="0.25">
      <c r="A251" s="92" t="s">
        <v>0</v>
      </c>
      <c r="B251" s="35">
        <v>20688</v>
      </c>
      <c r="C251" s="35"/>
      <c r="D251" s="36" t="s">
        <v>345</v>
      </c>
      <c r="E251" s="21" t="s">
        <v>50</v>
      </c>
      <c r="F251" s="20" t="s">
        <v>347</v>
      </c>
      <c r="G251" s="21" t="s">
        <v>303</v>
      </c>
      <c r="H251" s="6" t="s">
        <v>766</v>
      </c>
      <c r="I251" s="8">
        <v>9.6000000000000014</v>
      </c>
      <c r="J251" s="22">
        <f t="shared" si="9"/>
        <v>9.6000000000000014</v>
      </c>
    </row>
    <row r="252" spans="1:11" ht="12" customHeight="1" x14ac:dyDescent="0.2">
      <c r="A252" s="104" t="s">
        <v>788</v>
      </c>
      <c r="B252" s="105"/>
      <c r="C252" s="105"/>
      <c r="D252" s="105"/>
      <c r="E252" s="105"/>
      <c r="F252" s="105"/>
      <c r="G252" s="105"/>
      <c r="H252" s="105"/>
      <c r="I252" s="105"/>
      <c r="J252" s="106"/>
    </row>
    <row r="253" spans="1:11" ht="12" customHeight="1" x14ac:dyDescent="0.2">
      <c r="A253" s="83" t="s">
        <v>0</v>
      </c>
      <c r="B253" s="4">
        <v>20911</v>
      </c>
      <c r="C253" s="4"/>
      <c r="D253" s="3" t="s">
        <v>207</v>
      </c>
      <c r="E253" s="3" t="s">
        <v>2</v>
      </c>
      <c r="F253" s="4" t="s">
        <v>346</v>
      </c>
      <c r="G253" s="3" t="s">
        <v>206</v>
      </c>
      <c r="H253" s="3" t="s">
        <v>752</v>
      </c>
      <c r="I253" s="5">
        <v>45</v>
      </c>
      <c r="J253" s="23">
        <f t="shared" ref="J253:J276" si="10">IF(I253="on request","on request",IF(F253="Box",I253*(100%-$C$3),IF(F253="License",I253*(100%-$C$4),IF(F253="Renewal",I253*(100%-$C$5),IF(F253="ESD",I253*(100%-$C$3),I253)))))</f>
        <v>45</v>
      </c>
      <c r="K253" s="561"/>
    </row>
    <row r="254" spans="1:11" ht="12" customHeight="1" x14ac:dyDescent="0.2">
      <c r="A254" s="83" t="s">
        <v>0</v>
      </c>
      <c r="B254" s="4">
        <v>20912</v>
      </c>
      <c r="C254" s="4"/>
      <c r="D254" s="3" t="s">
        <v>208</v>
      </c>
      <c r="E254" s="3" t="s">
        <v>5</v>
      </c>
      <c r="F254" s="4" t="s">
        <v>346</v>
      </c>
      <c r="G254" s="3" t="s">
        <v>206</v>
      </c>
      <c r="H254" s="3" t="s">
        <v>752</v>
      </c>
      <c r="I254" s="5">
        <v>37.799999999999997</v>
      </c>
      <c r="J254" s="23">
        <f t="shared" si="10"/>
        <v>37.799999999999997</v>
      </c>
      <c r="K254" s="561"/>
    </row>
    <row r="255" spans="1:11" ht="12" customHeight="1" x14ac:dyDescent="0.2">
      <c r="A255" s="83" t="s">
        <v>0</v>
      </c>
      <c r="B255" s="4">
        <v>20913</v>
      </c>
      <c r="C255" s="4"/>
      <c r="D255" s="3" t="s">
        <v>209</v>
      </c>
      <c r="E255" s="3" t="s">
        <v>7</v>
      </c>
      <c r="F255" s="4" t="s">
        <v>346</v>
      </c>
      <c r="G255" s="3" t="s">
        <v>206</v>
      </c>
      <c r="H255" s="3" t="s">
        <v>752</v>
      </c>
      <c r="I255" s="5">
        <v>30.15</v>
      </c>
      <c r="J255" s="23">
        <f t="shared" si="10"/>
        <v>30.15</v>
      </c>
      <c r="K255" s="561"/>
    </row>
    <row r="256" spans="1:11" ht="12" customHeight="1" x14ac:dyDescent="0.2">
      <c r="A256" s="83" t="s">
        <v>0</v>
      </c>
      <c r="B256" s="4">
        <v>20914</v>
      </c>
      <c r="C256" s="4"/>
      <c r="D256" s="3" t="s">
        <v>210</v>
      </c>
      <c r="E256" s="3" t="s">
        <v>9</v>
      </c>
      <c r="F256" s="4" t="s">
        <v>346</v>
      </c>
      <c r="G256" s="3" t="s">
        <v>206</v>
      </c>
      <c r="H256" s="3" t="s">
        <v>752</v>
      </c>
      <c r="I256" s="5">
        <v>23.4</v>
      </c>
      <c r="J256" s="23">
        <f t="shared" si="10"/>
        <v>23.4</v>
      </c>
      <c r="K256" s="561"/>
    </row>
    <row r="257" spans="1:11" ht="12" customHeight="1" x14ac:dyDescent="0.2">
      <c r="A257" s="83" t="s">
        <v>0</v>
      </c>
      <c r="B257" s="4">
        <v>20915</v>
      </c>
      <c r="C257" s="4"/>
      <c r="D257" s="3" t="s">
        <v>211</v>
      </c>
      <c r="E257" s="3" t="s">
        <v>11</v>
      </c>
      <c r="F257" s="4" t="s">
        <v>346</v>
      </c>
      <c r="G257" s="3" t="s">
        <v>206</v>
      </c>
      <c r="H257" s="3" t="s">
        <v>752</v>
      </c>
      <c r="I257" s="5">
        <v>20.7</v>
      </c>
      <c r="J257" s="23">
        <f t="shared" si="10"/>
        <v>20.7</v>
      </c>
      <c r="K257" s="561"/>
    </row>
    <row r="258" spans="1:11" ht="12" customHeight="1" x14ac:dyDescent="0.2">
      <c r="A258" s="83" t="s">
        <v>0</v>
      </c>
      <c r="B258" s="4">
        <v>20916</v>
      </c>
      <c r="C258" s="4"/>
      <c r="D258" s="3" t="s">
        <v>212</v>
      </c>
      <c r="E258" s="3" t="s">
        <v>13</v>
      </c>
      <c r="F258" s="4" t="s">
        <v>346</v>
      </c>
      <c r="G258" s="3" t="s">
        <v>206</v>
      </c>
      <c r="H258" s="3" t="s">
        <v>752</v>
      </c>
      <c r="I258" s="5">
        <v>18</v>
      </c>
      <c r="J258" s="23">
        <f t="shared" si="10"/>
        <v>18</v>
      </c>
      <c r="K258" s="561"/>
    </row>
    <row r="259" spans="1:11" ht="12" customHeight="1" x14ac:dyDescent="0.2">
      <c r="A259" s="83" t="s">
        <v>0</v>
      </c>
      <c r="B259" s="4">
        <v>20917</v>
      </c>
      <c r="C259" s="4"/>
      <c r="D259" s="3" t="s">
        <v>213</v>
      </c>
      <c r="E259" s="3" t="s">
        <v>15</v>
      </c>
      <c r="F259" s="4" t="s">
        <v>346</v>
      </c>
      <c r="G259" s="3" t="s">
        <v>206</v>
      </c>
      <c r="H259" s="3" t="s">
        <v>752</v>
      </c>
      <c r="I259" s="5">
        <v>16.2</v>
      </c>
      <c r="J259" s="23">
        <f t="shared" si="10"/>
        <v>16.2</v>
      </c>
      <c r="K259" s="561"/>
    </row>
    <row r="260" spans="1:11" ht="12" customHeight="1" x14ac:dyDescent="0.2">
      <c r="A260" s="83" t="s">
        <v>0</v>
      </c>
      <c r="B260" s="4">
        <v>20918</v>
      </c>
      <c r="C260" s="4"/>
      <c r="D260" s="3" t="s">
        <v>214</v>
      </c>
      <c r="E260" s="3" t="s">
        <v>17</v>
      </c>
      <c r="F260" s="4" t="s">
        <v>346</v>
      </c>
      <c r="G260" s="3" t="s">
        <v>206</v>
      </c>
      <c r="H260" s="3" t="s">
        <v>752</v>
      </c>
      <c r="I260" s="5">
        <v>14.399999999999999</v>
      </c>
      <c r="J260" s="23">
        <f t="shared" si="10"/>
        <v>14.399999999999999</v>
      </c>
      <c r="K260" s="561"/>
    </row>
    <row r="261" spans="1:11" ht="12" customHeight="1" x14ac:dyDescent="0.2">
      <c r="A261" s="83" t="s">
        <v>0</v>
      </c>
      <c r="B261" s="4">
        <v>20921</v>
      </c>
      <c r="C261" s="4"/>
      <c r="D261" s="3" t="s">
        <v>215</v>
      </c>
      <c r="E261" s="3" t="s">
        <v>2</v>
      </c>
      <c r="F261" s="4" t="s">
        <v>346</v>
      </c>
      <c r="G261" s="3" t="s">
        <v>206</v>
      </c>
      <c r="H261" s="3" t="s">
        <v>753</v>
      </c>
      <c r="I261" s="5">
        <v>63</v>
      </c>
      <c r="J261" s="23">
        <f t="shared" si="10"/>
        <v>63</v>
      </c>
      <c r="K261" s="561"/>
    </row>
    <row r="262" spans="1:11" ht="12" customHeight="1" x14ac:dyDescent="0.2">
      <c r="A262" s="83" t="s">
        <v>0</v>
      </c>
      <c r="B262" s="4">
        <v>20922</v>
      </c>
      <c r="C262" s="4"/>
      <c r="D262" s="3" t="s">
        <v>216</v>
      </c>
      <c r="E262" s="3" t="s">
        <v>5</v>
      </c>
      <c r="F262" s="4" t="s">
        <v>346</v>
      </c>
      <c r="G262" s="3" t="s">
        <v>206</v>
      </c>
      <c r="H262" s="3" t="s">
        <v>753</v>
      </c>
      <c r="I262" s="5">
        <v>55.8</v>
      </c>
      <c r="J262" s="23">
        <f t="shared" si="10"/>
        <v>55.8</v>
      </c>
      <c r="K262" s="561"/>
    </row>
    <row r="263" spans="1:11" ht="12" customHeight="1" x14ac:dyDescent="0.2">
      <c r="A263" s="83" t="s">
        <v>0</v>
      </c>
      <c r="B263" s="4">
        <v>20923</v>
      </c>
      <c r="C263" s="4"/>
      <c r="D263" s="3" t="s">
        <v>217</v>
      </c>
      <c r="E263" s="3" t="s">
        <v>7</v>
      </c>
      <c r="F263" s="4" t="s">
        <v>346</v>
      </c>
      <c r="G263" s="3" t="s">
        <v>206</v>
      </c>
      <c r="H263" s="3" t="s">
        <v>753</v>
      </c>
      <c r="I263" s="5">
        <v>43.199999999999996</v>
      </c>
      <c r="J263" s="23">
        <f t="shared" si="10"/>
        <v>43.199999999999996</v>
      </c>
      <c r="K263" s="561"/>
    </row>
    <row r="264" spans="1:11" ht="12" customHeight="1" x14ac:dyDescent="0.2">
      <c r="A264" s="83" t="s">
        <v>0</v>
      </c>
      <c r="B264" s="4">
        <v>20924</v>
      </c>
      <c r="C264" s="4"/>
      <c r="D264" s="3" t="s">
        <v>218</v>
      </c>
      <c r="E264" s="3" t="s">
        <v>9</v>
      </c>
      <c r="F264" s="4" t="s">
        <v>346</v>
      </c>
      <c r="G264" s="3" t="s">
        <v>206</v>
      </c>
      <c r="H264" s="3" t="s">
        <v>753</v>
      </c>
      <c r="I264" s="5">
        <v>36</v>
      </c>
      <c r="J264" s="23">
        <f t="shared" si="10"/>
        <v>36</v>
      </c>
      <c r="K264" s="561"/>
    </row>
    <row r="265" spans="1:11" ht="12" customHeight="1" x14ac:dyDescent="0.2">
      <c r="A265" s="83" t="s">
        <v>0</v>
      </c>
      <c r="B265" s="4">
        <v>20925</v>
      </c>
      <c r="C265" s="4"/>
      <c r="D265" s="3" t="s">
        <v>219</v>
      </c>
      <c r="E265" s="3" t="s">
        <v>11</v>
      </c>
      <c r="F265" s="4" t="s">
        <v>346</v>
      </c>
      <c r="G265" s="3" t="s">
        <v>206</v>
      </c>
      <c r="H265" s="3" t="s">
        <v>753</v>
      </c>
      <c r="I265" s="5">
        <v>31.5</v>
      </c>
      <c r="J265" s="23">
        <f t="shared" si="10"/>
        <v>31.5</v>
      </c>
      <c r="K265" s="561"/>
    </row>
    <row r="266" spans="1:11" ht="12" customHeight="1" x14ac:dyDescent="0.2">
      <c r="A266" s="83" t="s">
        <v>0</v>
      </c>
      <c r="B266" s="4">
        <v>20926</v>
      </c>
      <c r="C266" s="4"/>
      <c r="D266" s="3" t="s">
        <v>220</v>
      </c>
      <c r="E266" s="3" t="s">
        <v>13</v>
      </c>
      <c r="F266" s="4" t="s">
        <v>346</v>
      </c>
      <c r="G266" s="3" t="s">
        <v>206</v>
      </c>
      <c r="H266" s="3" t="s">
        <v>753</v>
      </c>
      <c r="I266" s="5">
        <v>27</v>
      </c>
      <c r="J266" s="23">
        <f t="shared" si="10"/>
        <v>27</v>
      </c>
      <c r="K266" s="561"/>
    </row>
    <row r="267" spans="1:11" ht="12" customHeight="1" x14ac:dyDescent="0.2">
      <c r="A267" s="83" t="s">
        <v>0</v>
      </c>
      <c r="B267" s="4">
        <v>20927</v>
      </c>
      <c r="C267" s="4"/>
      <c r="D267" s="3" t="s">
        <v>221</v>
      </c>
      <c r="E267" s="3" t="s">
        <v>15</v>
      </c>
      <c r="F267" s="4" t="s">
        <v>346</v>
      </c>
      <c r="G267" s="3" t="s">
        <v>206</v>
      </c>
      <c r="H267" s="3" t="s">
        <v>753</v>
      </c>
      <c r="I267" s="5">
        <v>24.299999999999997</v>
      </c>
      <c r="J267" s="23">
        <f t="shared" si="10"/>
        <v>24.299999999999997</v>
      </c>
      <c r="K267" s="561"/>
    </row>
    <row r="268" spans="1:11" ht="12" customHeight="1" x14ac:dyDescent="0.2">
      <c r="A268" s="83" t="s">
        <v>0</v>
      </c>
      <c r="B268" s="4">
        <v>20928</v>
      </c>
      <c r="C268" s="4"/>
      <c r="D268" s="3" t="s">
        <v>222</v>
      </c>
      <c r="E268" s="3" t="s">
        <v>17</v>
      </c>
      <c r="F268" s="4" t="s">
        <v>346</v>
      </c>
      <c r="G268" s="3" t="s">
        <v>206</v>
      </c>
      <c r="H268" s="3" t="s">
        <v>753</v>
      </c>
      <c r="I268" s="5">
        <v>22.5</v>
      </c>
      <c r="J268" s="23">
        <f t="shared" si="10"/>
        <v>22.5</v>
      </c>
      <c r="K268" s="561"/>
    </row>
    <row r="269" spans="1:11" ht="12" customHeight="1" x14ac:dyDescent="0.2">
      <c r="A269" s="83" t="s">
        <v>0</v>
      </c>
      <c r="B269" s="4">
        <v>20931</v>
      </c>
      <c r="C269" s="4"/>
      <c r="D269" s="3" t="s">
        <v>223</v>
      </c>
      <c r="E269" s="3" t="s">
        <v>2</v>
      </c>
      <c r="F269" s="4" t="s">
        <v>346</v>
      </c>
      <c r="G269" s="3" t="s">
        <v>206</v>
      </c>
      <c r="H269" s="3" t="s">
        <v>755</v>
      </c>
      <c r="I269" s="5">
        <v>80.099999999999994</v>
      </c>
      <c r="J269" s="23">
        <f t="shared" si="10"/>
        <v>80.099999999999994</v>
      </c>
      <c r="K269" s="561"/>
    </row>
    <row r="270" spans="1:11" ht="12" customHeight="1" x14ac:dyDescent="0.2">
      <c r="A270" s="83" t="s">
        <v>0</v>
      </c>
      <c r="B270" s="4">
        <v>20932</v>
      </c>
      <c r="C270" s="4"/>
      <c r="D270" s="3" t="s">
        <v>224</v>
      </c>
      <c r="E270" s="3" t="s">
        <v>5</v>
      </c>
      <c r="F270" s="4" t="s">
        <v>346</v>
      </c>
      <c r="G270" s="3" t="s">
        <v>206</v>
      </c>
      <c r="H270" s="3" t="s">
        <v>755</v>
      </c>
      <c r="I270" s="5">
        <v>71.099999999999994</v>
      </c>
      <c r="J270" s="23">
        <f t="shared" si="10"/>
        <v>71.099999999999994</v>
      </c>
      <c r="K270" s="561"/>
    </row>
    <row r="271" spans="1:11" ht="12" customHeight="1" x14ac:dyDescent="0.2">
      <c r="A271" s="83" t="s">
        <v>0</v>
      </c>
      <c r="B271" s="4">
        <v>20933</v>
      </c>
      <c r="C271" s="4"/>
      <c r="D271" s="3" t="s">
        <v>225</v>
      </c>
      <c r="E271" s="3" t="s">
        <v>7</v>
      </c>
      <c r="F271" s="4" t="s">
        <v>346</v>
      </c>
      <c r="G271" s="3" t="s">
        <v>206</v>
      </c>
      <c r="H271" s="3" t="s">
        <v>755</v>
      </c>
      <c r="I271" s="5">
        <v>61.199999999999996</v>
      </c>
      <c r="J271" s="23">
        <f t="shared" si="10"/>
        <v>61.199999999999996</v>
      </c>
      <c r="K271" s="561"/>
    </row>
    <row r="272" spans="1:11" ht="12" customHeight="1" x14ac:dyDescent="0.2">
      <c r="A272" s="83" t="s">
        <v>0</v>
      </c>
      <c r="B272" s="4">
        <v>20934</v>
      </c>
      <c r="C272" s="4"/>
      <c r="D272" s="3" t="s">
        <v>226</v>
      </c>
      <c r="E272" s="3" t="s">
        <v>9</v>
      </c>
      <c r="F272" s="4" t="s">
        <v>346</v>
      </c>
      <c r="G272" s="3" t="s">
        <v>206</v>
      </c>
      <c r="H272" s="3" t="s">
        <v>755</v>
      </c>
      <c r="I272" s="5">
        <v>52.199999999999996</v>
      </c>
      <c r="J272" s="23">
        <f t="shared" si="10"/>
        <v>52.199999999999996</v>
      </c>
      <c r="K272" s="561"/>
    </row>
    <row r="273" spans="1:11" ht="12" customHeight="1" x14ac:dyDescent="0.2">
      <c r="A273" s="83" t="s">
        <v>0</v>
      </c>
      <c r="B273" s="4">
        <v>20935</v>
      </c>
      <c r="C273" s="4"/>
      <c r="D273" s="3" t="s">
        <v>227</v>
      </c>
      <c r="E273" s="3" t="s">
        <v>11</v>
      </c>
      <c r="F273" s="4" t="s">
        <v>346</v>
      </c>
      <c r="G273" s="3" t="s">
        <v>206</v>
      </c>
      <c r="H273" s="3" t="s">
        <v>755</v>
      </c>
      <c r="I273" s="5">
        <v>44.099999999999994</v>
      </c>
      <c r="J273" s="23">
        <f t="shared" si="10"/>
        <v>44.099999999999994</v>
      </c>
      <c r="K273" s="561"/>
    </row>
    <row r="274" spans="1:11" ht="12" customHeight="1" x14ac:dyDescent="0.2">
      <c r="A274" s="83" t="s">
        <v>0</v>
      </c>
      <c r="B274" s="4">
        <v>20936</v>
      </c>
      <c r="C274" s="4"/>
      <c r="D274" s="3" t="s">
        <v>228</v>
      </c>
      <c r="E274" s="3" t="s">
        <v>13</v>
      </c>
      <c r="F274" s="4" t="s">
        <v>346</v>
      </c>
      <c r="G274" s="3" t="s">
        <v>206</v>
      </c>
      <c r="H274" s="3" t="s">
        <v>755</v>
      </c>
      <c r="I274" s="5">
        <v>36.9</v>
      </c>
      <c r="J274" s="23">
        <f t="shared" si="10"/>
        <v>36.9</v>
      </c>
      <c r="K274" s="561"/>
    </row>
    <row r="275" spans="1:11" ht="12" customHeight="1" x14ac:dyDescent="0.2">
      <c r="A275" s="83" t="s">
        <v>0</v>
      </c>
      <c r="B275" s="4">
        <v>20937</v>
      </c>
      <c r="C275" s="4"/>
      <c r="D275" s="3" t="s">
        <v>229</v>
      </c>
      <c r="E275" s="3" t="s">
        <v>15</v>
      </c>
      <c r="F275" s="4" t="s">
        <v>346</v>
      </c>
      <c r="G275" s="3" t="s">
        <v>206</v>
      </c>
      <c r="H275" s="3" t="s">
        <v>755</v>
      </c>
      <c r="I275" s="5">
        <v>33.299999999999997</v>
      </c>
      <c r="J275" s="23">
        <f t="shared" si="10"/>
        <v>33.299999999999997</v>
      </c>
      <c r="K275" s="561"/>
    </row>
    <row r="276" spans="1:11" ht="12" customHeight="1" thickBot="1" x14ac:dyDescent="0.25">
      <c r="A276" s="84" t="s">
        <v>0</v>
      </c>
      <c r="B276" s="24">
        <v>20938</v>
      </c>
      <c r="C276" s="24"/>
      <c r="D276" s="25" t="s">
        <v>230</v>
      </c>
      <c r="E276" s="25" t="s">
        <v>17</v>
      </c>
      <c r="F276" s="24" t="s">
        <v>346</v>
      </c>
      <c r="G276" s="25" t="s">
        <v>206</v>
      </c>
      <c r="H276" s="25" t="s">
        <v>755</v>
      </c>
      <c r="I276" s="5">
        <v>29.700000000000003</v>
      </c>
      <c r="J276" s="23">
        <f t="shared" si="10"/>
        <v>29.700000000000003</v>
      </c>
    </row>
    <row r="277" spans="1:11" ht="12" customHeight="1" x14ac:dyDescent="0.2">
      <c r="A277" s="101" t="s">
        <v>789</v>
      </c>
      <c r="B277" s="102"/>
      <c r="C277" s="102"/>
      <c r="D277" s="102"/>
      <c r="E277" s="102"/>
      <c r="F277" s="102"/>
      <c r="G277" s="102"/>
      <c r="H277" s="102"/>
      <c r="I277" s="114"/>
      <c r="J277" s="103"/>
    </row>
    <row r="278" spans="1:11" ht="12" customHeight="1" x14ac:dyDescent="0.2">
      <c r="A278" s="85" t="s">
        <v>0</v>
      </c>
      <c r="B278" s="7">
        <v>20961</v>
      </c>
      <c r="C278" s="7"/>
      <c r="D278" s="6" t="s">
        <v>231</v>
      </c>
      <c r="E278" s="6" t="s">
        <v>36</v>
      </c>
      <c r="F278" s="7" t="s">
        <v>347</v>
      </c>
      <c r="G278" s="6" t="s">
        <v>206</v>
      </c>
      <c r="H278" s="6" t="s">
        <v>758</v>
      </c>
      <c r="I278" s="8">
        <v>24</v>
      </c>
      <c r="J278" s="19">
        <f t="shared" ref="J278:J301" si="11">IF(I278="on request","on request",IF(F278="Box",I278*(100%-$C$3),IF(F278="License",I278*(100%-$C$4),IF(F278="Renewal",I278*(100%-$C$5),IF(F278="ESD",I278*(100%-$C$3),I278)))))</f>
        <v>24</v>
      </c>
    </row>
    <row r="279" spans="1:11" ht="12" customHeight="1" x14ac:dyDescent="0.2">
      <c r="A279" s="85" t="s">
        <v>0</v>
      </c>
      <c r="B279" s="7">
        <v>20962</v>
      </c>
      <c r="C279" s="7"/>
      <c r="D279" s="6" t="s">
        <v>232</v>
      </c>
      <c r="E279" s="6" t="s">
        <v>38</v>
      </c>
      <c r="F279" s="7" t="s">
        <v>347</v>
      </c>
      <c r="G279" s="6" t="s">
        <v>206</v>
      </c>
      <c r="H279" s="6" t="s">
        <v>758</v>
      </c>
      <c r="I279" s="8">
        <v>23.52</v>
      </c>
      <c r="J279" s="19">
        <f t="shared" si="11"/>
        <v>23.52</v>
      </c>
    </row>
    <row r="280" spans="1:11" ht="12" customHeight="1" x14ac:dyDescent="0.2">
      <c r="A280" s="85" t="s">
        <v>0</v>
      </c>
      <c r="B280" s="7">
        <v>20963</v>
      </c>
      <c r="C280" s="7"/>
      <c r="D280" s="6" t="s">
        <v>233</v>
      </c>
      <c r="E280" s="6" t="s">
        <v>40</v>
      </c>
      <c r="F280" s="7" t="s">
        <v>347</v>
      </c>
      <c r="G280" s="6" t="s">
        <v>206</v>
      </c>
      <c r="H280" s="6" t="s">
        <v>758</v>
      </c>
      <c r="I280" s="8">
        <v>19.776000000000003</v>
      </c>
      <c r="J280" s="19">
        <f t="shared" si="11"/>
        <v>19.776000000000003</v>
      </c>
    </row>
    <row r="281" spans="1:11" ht="12" customHeight="1" x14ac:dyDescent="0.2">
      <c r="A281" s="85" t="s">
        <v>0</v>
      </c>
      <c r="B281" s="7">
        <v>20964</v>
      </c>
      <c r="C281" s="7"/>
      <c r="D281" s="6" t="s">
        <v>234</v>
      </c>
      <c r="E281" s="6" t="s">
        <v>42</v>
      </c>
      <c r="F281" s="7" t="s">
        <v>347</v>
      </c>
      <c r="G281" s="6" t="s">
        <v>206</v>
      </c>
      <c r="H281" s="6" t="s">
        <v>758</v>
      </c>
      <c r="I281" s="8">
        <v>18.528000000000002</v>
      </c>
      <c r="J281" s="19">
        <f t="shared" si="11"/>
        <v>18.528000000000002</v>
      </c>
    </row>
    <row r="282" spans="1:11" ht="12" customHeight="1" x14ac:dyDescent="0.2">
      <c r="A282" s="85" t="s">
        <v>0</v>
      </c>
      <c r="B282" s="7">
        <v>20965</v>
      </c>
      <c r="C282" s="7"/>
      <c r="D282" s="6" t="s">
        <v>235</v>
      </c>
      <c r="E282" s="6" t="s">
        <v>44</v>
      </c>
      <c r="F282" s="7" t="s">
        <v>347</v>
      </c>
      <c r="G282" s="6" t="s">
        <v>206</v>
      </c>
      <c r="H282" s="6" t="s">
        <v>758</v>
      </c>
      <c r="I282" s="8">
        <v>15.024000000000001</v>
      </c>
      <c r="J282" s="19">
        <f t="shared" si="11"/>
        <v>15.024000000000001</v>
      </c>
    </row>
    <row r="283" spans="1:11" ht="12" customHeight="1" x14ac:dyDescent="0.2">
      <c r="A283" s="85" t="s">
        <v>0</v>
      </c>
      <c r="B283" s="7">
        <v>20966</v>
      </c>
      <c r="C283" s="7"/>
      <c r="D283" s="6" t="s">
        <v>236</v>
      </c>
      <c r="E283" s="6" t="s">
        <v>46</v>
      </c>
      <c r="F283" s="7" t="s">
        <v>347</v>
      </c>
      <c r="G283" s="6" t="s">
        <v>206</v>
      </c>
      <c r="H283" s="6" t="s">
        <v>758</v>
      </c>
      <c r="I283" s="8">
        <v>11.769600000000001</v>
      </c>
      <c r="J283" s="19">
        <f t="shared" si="11"/>
        <v>11.769600000000001</v>
      </c>
    </row>
    <row r="284" spans="1:11" ht="12" customHeight="1" x14ac:dyDescent="0.2">
      <c r="A284" s="85" t="s">
        <v>0</v>
      </c>
      <c r="B284" s="7">
        <v>20967</v>
      </c>
      <c r="C284" s="7"/>
      <c r="D284" s="6" t="s">
        <v>237</v>
      </c>
      <c r="E284" s="6" t="s">
        <v>48</v>
      </c>
      <c r="F284" s="7" t="s">
        <v>347</v>
      </c>
      <c r="G284" s="6" t="s">
        <v>206</v>
      </c>
      <c r="H284" s="6" t="s">
        <v>758</v>
      </c>
      <c r="I284" s="8">
        <v>10.204800000000001</v>
      </c>
      <c r="J284" s="19">
        <f t="shared" si="11"/>
        <v>10.204800000000001</v>
      </c>
    </row>
    <row r="285" spans="1:11" ht="12" customHeight="1" x14ac:dyDescent="0.2">
      <c r="A285" s="85" t="s">
        <v>0</v>
      </c>
      <c r="B285" s="7">
        <v>20968</v>
      </c>
      <c r="C285" s="7"/>
      <c r="D285" s="6" t="s">
        <v>238</v>
      </c>
      <c r="E285" s="6" t="s">
        <v>50</v>
      </c>
      <c r="F285" s="7" t="s">
        <v>347</v>
      </c>
      <c r="G285" s="6" t="s">
        <v>206</v>
      </c>
      <c r="H285" s="6" t="s">
        <v>758</v>
      </c>
      <c r="I285" s="8">
        <v>8.7360000000000007</v>
      </c>
      <c r="J285" s="19">
        <f t="shared" si="11"/>
        <v>8.7360000000000007</v>
      </c>
    </row>
    <row r="286" spans="1:11" ht="12" customHeight="1" x14ac:dyDescent="0.2">
      <c r="A286" s="85" t="s">
        <v>0</v>
      </c>
      <c r="B286" s="7">
        <v>20971</v>
      </c>
      <c r="C286" s="7"/>
      <c r="D286" s="6" t="s">
        <v>239</v>
      </c>
      <c r="E286" s="6" t="s">
        <v>36</v>
      </c>
      <c r="F286" s="7" t="s">
        <v>347</v>
      </c>
      <c r="G286" s="6" t="s">
        <v>206</v>
      </c>
      <c r="H286" s="6" t="s">
        <v>759</v>
      </c>
      <c r="I286" s="8">
        <v>42</v>
      </c>
      <c r="J286" s="19">
        <f t="shared" si="11"/>
        <v>42</v>
      </c>
    </row>
    <row r="287" spans="1:11" ht="12" customHeight="1" x14ac:dyDescent="0.2">
      <c r="A287" s="85" t="s">
        <v>0</v>
      </c>
      <c r="B287" s="7">
        <v>20972</v>
      </c>
      <c r="C287" s="7"/>
      <c r="D287" s="6" t="s">
        <v>240</v>
      </c>
      <c r="E287" s="6" t="s">
        <v>38</v>
      </c>
      <c r="F287" s="7" t="s">
        <v>347</v>
      </c>
      <c r="G287" s="6" t="s">
        <v>206</v>
      </c>
      <c r="H287" s="6" t="s">
        <v>759</v>
      </c>
      <c r="I287" s="8">
        <v>41.16</v>
      </c>
      <c r="J287" s="19">
        <f t="shared" si="11"/>
        <v>41.16</v>
      </c>
    </row>
    <row r="288" spans="1:11" ht="12" customHeight="1" x14ac:dyDescent="0.2">
      <c r="A288" s="85" t="s">
        <v>0</v>
      </c>
      <c r="B288" s="7">
        <v>20973</v>
      </c>
      <c r="C288" s="7"/>
      <c r="D288" s="6" t="s">
        <v>241</v>
      </c>
      <c r="E288" s="6" t="s">
        <v>40</v>
      </c>
      <c r="F288" s="7" t="s">
        <v>347</v>
      </c>
      <c r="G288" s="6" t="s">
        <v>206</v>
      </c>
      <c r="H288" s="6" t="s">
        <v>759</v>
      </c>
      <c r="I288" s="8">
        <v>34.608000000000004</v>
      </c>
      <c r="J288" s="19">
        <f t="shared" si="11"/>
        <v>34.608000000000004</v>
      </c>
    </row>
    <row r="289" spans="1:11" ht="12" customHeight="1" x14ac:dyDescent="0.2">
      <c r="A289" s="85" t="s">
        <v>0</v>
      </c>
      <c r="B289" s="7">
        <v>20974</v>
      </c>
      <c r="C289" s="7"/>
      <c r="D289" s="6" t="s">
        <v>242</v>
      </c>
      <c r="E289" s="6" t="s">
        <v>42</v>
      </c>
      <c r="F289" s="7" t="s">
        <v>347</v>
      </c>
      <c r="G289" s="6" t="s">
        <v>206</v>
      </c>
      <c r="H289" s="6" t="s">
        <v>759</v>
      </c>
      <c r="I289" s="8">
        <v>32.423999999999999</v>
      </c>
      <c r="J289" s="19">
        <f t="shared" si="11"/>
        <v>32.423999999999999</v>
      </c>
    </row>
    <row r="290" spans="1:11" ht="12" customHeight="1" x14ac:dyDescent="0.2">
      <c r="A290" s="85" t="s">
        <v>0</v>
      </c>
      <c r="B290" s="7">
        <v>20975</v>
      </c>
      <c r="C290" s="7"/>
      <c r="D290" s="6" t="s">
        <v>243</v>
      </c>
      <c r="E290" s="6" t="s">
        <v>44</v>
      </c>
      <c r="F290" s="7" t="s">
        <v>347</v>
      </c>
      <c r="G290" s="6" t="s">
        <v>206</v>
      </c>
      <c r="H290" s="6" t="s">
        <v>759</v>
      </c>
      <c r="I290" s="8">
        <v>26.292000000000002</v>
      </c>
      <c r="J290" s="19">
        <f t="shared" si="11"/>
        <v>26.292000000000002</v>
      </c>
    </row>
    <row r="291" spans="1:11" ht="12" customHeight="1" x14ac:dyDescent="0.2">
      <c r="A291" s="85" t="s">
        <v>0</v>
      </c>
      <c r="B291" s="7">
        <v>20976</v>
      </c>
      <c r="C291" s="7"/>
      <c r="D291" s="6" t="s">
        <v>244</v>
      </c>
      <c r="E291" s="6" t="s">
        <v>46</v>
      </c>
      <c r="F291" s="7" t="s">
        <v>347</v>
      </c>
      <c r="G291" s="6" t="s">
        <v>206</v>
      </c>
      <c r="H291" s="6" t="s">
        <v>759</v>
      </c>
      <c r="I291" s="8">
        <v>20.596800000000002</v>
      </c>
      <c r="J291" s="19">
        <f t="shared" si="11"/>
        <v>20.596800000000002</v>
      </c>
    </row>
    <row r="292" spans="1:11" ht="12" customHeight="1" x14ac:dyDescent="0.2">
      <c r="A292" s="85" t="s">
        <v>0</v>
      </c>
      <c r="B292" s="7">
        <v>20977</v>
      </c>
      <c r="C292" s="7"/>
      <c r="D292" s="6" t="s">
        <v>245</v>
      </c>
      <c r="E292" s="6" t="s">
        <v>48</v>
      </c>
      <c r="F292" s="7" t="s">
        <v>347</v>
      </c>
      <c r="G292" s="6" t="s">
        <v>206</v>
      </c>
      <c r="H292" s="6" t="s">
        <v>759</v>
      </c>
      <c r="I292" s="8">
        <v>17.8584</v>
      </c>
      <c r="J292" s="19">
        <f t="shared" si="11"/>
        <v>17.8584</v>
      </c>
    </row>
    <row r="293" spans="1:11" ht="12" customHeight="1" x14ac:dyDescent="0.2">
      <c r="A293" s="85" t="s">
        <v>0</v>
      </c>
      <c r="B293" s="7">
        <v>20978</v>
      </c>
      <c r="C293" s="7"/>
      <c r="D293" s="6" t="s">
        <v>246</v>
      </c>
      <c r="E293" s="6" t="s">
        <v>50</v>
      </c>
      <c r="F293" s="7" t="s">
        <v>347</v>
      </c>
      <c r="G293" s="6" t="s">
        <v>206</v>
      </c>
      <c r="H293" s="6" t="s">
        <v>759</v>
      </c>
      <c r="I293" s="8">
        <v>13.52</v>
      </c>
      <c r="J293" s="19">
        <f t="shared" si="11"/>
        <v>13.52</v>
      </c>
    </row>
    <row r="294" spans="1:11" ht="12" customHeight="1" x14ac:dyDescent="0.2">
      <c r="A294" s="85" t="s">
        <v>0</v>
      </c>
      <c r="B294" s="7">
        <v>20981</v>
      </c>
      <c r="C294" s="7"/>
      <c r="D294" s="6" t="s">
        <v>247</v>
      </c>
      <c r="E294" s="6" t="s">
        <v>36</v>
      </c>
      <c r="F294" s="7" t="s">
        <v>347</v>
      </c>
      <c r="G294" s="6" t="s">
        <v>206</v>
      </c>
      <c r="H294" s="6" t="s">
        <v>760</v>
      </c>
      <c r="I294" s="8">
        <v>60</v>
      </c>
      <c r="J294" s="19">
        <f t="shared" si="11"/>
        <v>60</v>
      </c>
    </row>
    <row r="295" spans="1:11" ht="12" customHeight="1" x14ac:dyDescent="0.2">
      <c r="A295" s="85" t="s">
        <v>0</v>
      </c>
      <c r="B295" s="7">
        <v>20982</v>
      </c>
      <c r="C295" s="7"/>
      <c r="D295" s="6" t="s">
        <v>248</v>
      </c>
      <c r="E295" s="6" t="s">
        <v>38</v>
      </c>
      <c r="F295" s="7" t="s">
        <v>347</v>
      </c>
      <c r="G295" s="6" t="s">
        <v>206</v>
      </c>
      <c r="H295" s="6" t="s">
        <v>760</v>
      </c>
      <c r="I295" s="8">
        <v>58.800000000000004</v>
      </c>
      <c r="J295" s="19">
        <f t="shared" si="11"/>
        <v>58.800000000000004</v>
      </c>
    </row>
    <row r="296" spans="1:11" ht="12" customHeight="1" x14ac:dyDescent="0.2">
      <c r="A296" s="85" t="s">
        <v>0</v>
      </c>
      <c r="B296" s="7">
        <v>20983</v>
      </c>
      <c r="C296" s="7"/>
      <c r="D296" s="6" t="s">
        <v>249</v>
      </c>
      <c r="E296" s="6" t="s">
        <v>40</v>
      </c>
      <c r="F296" s="7" t="s">
        <v>347</v>
      </c>
      <c r="G296" s="6" t="s">
        <v>206</v>
      </c>
      <c r="H296" s="6" t="s">
        <v>760</v>
      </c>
      <c r="I296" s="8">
        <v>49.440000000000005</v>
      </c>
      <c r="J296" s="19">
        <f t="shared" si="11"/>
        <v>49.440000000000005</v>
      </c>
    </row>
    <row r="297" spans="1:11" ht="12" customHeight="1" x14ac:dyDescent="0.2">
      <c r="A297" s="85" t="s">
        <v>0</v>
      </c>
      <c r="B297" s="7">
        <v>20984</v>
      </c>
      <c r="C297" s="7"/>
      <c r="D297" s="6" t="s">
        <v>250</v>
      </c>
      <c r="E297" s="6" t="s">
        <v>42</v>
      </c>
      <c r="F297" s="7" t="s">
        <v>347</v>
      </c>
      <c r="G297" s="6" t="s">
        <v>206</v>
      </c>
      <c r="H297" s="6" t="s">
        <v>760</v>
      </c>
      <c r="I297" s="8">
        <v>46.32</v>
      </c>
      <c r="J297" s="19">
        <f t="shared" si="11"/>
        <v>46.32</v>
      </c>
    </row>
    <row r="298" spans="1:11" ht="12" customHeight="1" x14ac:dyDescent="0.2">
      <c r="A298" s="85" t="s">
        <v>0</v>
      </c>
      <c r="B298" s="7">
        <v>20985</v>
      </c>
      <c r="C298" s="7"/>
      <c r="D298" s="6" t="s">
        <v>251</v>
      </c>
      <c r="E298" s="6" t="s">
        <v>44</v>
      </c>
      <c r="F298" s="7" t="s">
        <v>347</v>
      </c>
      <c r="G298" s="6" t="s">
        <v>206</v>
      </c>
      <c r="H298" s="6" t="s">
        <v>760</v>
      </c>
      <c r="I298" s="8">
        <v>37.56</v>
      </c>
      <c r="J298" s="19">
        <f t="shared" si="11"/>
        <v>37.56</v>
      </c>
    </row>
    <row r="299" spans="1:11" ht="12" customHeight="1" x14ac:dyDescent="0.2">
      <c r="A299" s="85" t="s">
        <v>0</v>
      </c>
      <c r="B299" s="7">
        <v>20986</v>
      </c>
      <c r="C299" s="7"/>
      <c r="D299" s="6" t="s">
        <v>252</v>
      </c>
      <c r="E299" s="6" t="s">
        <v>46</v>
      </c>
      <c r="F299" s="7" t="s">
        <v>347</v>
      </c>
      <c r="G299" s="6" t="s">
        <v>206</v>
      </c>
      <c r="H299" s="6" t="s">
        <v>760</v>
      </c>
      <c r="I299" s="8">
        <v>29.424000000000003</v>
      </c>
      <c r="J299" s="19">
        <f t="shared" si="11"/>
        <v>29.424000000000003</v>
      </c>
    </row>
    <row r="300" spans="1:11" ht="12" customHeight="1" x14ac:dyDescent="0.2">
      <c r="A300" s="85" t="s">
        <v>0</v>
      </c>
      <c r="B300" s="7">
        <v>20987</v>
      </c>
      <c r="C300" s="7"/>
      <c r="D300" s="6" t="s">
        <v>253</v>
      </c>
      <c r="E300" s="6" t="s">
        <v>48</v>
      </c>
      <c r="F300" s="7" t="s">
        <v>347</v>
      </c>
      <c r="G300" s="6" t="s">
        <v>206</v>
      </c>
      <c r="H300" s="6" t="s">
        <v>760</v>
      </c>
      <c r="I300" s="8">
        <v>25.512</v>
      </c>
      <c r="J300" s="19">
        <f t="shared" si="11"/>
        <v>25.512</v>
      </c>
    </row>
    <row r="301" spans="1:11" ht="12" customHeight="1" thickBot="1" x14ac:dyDescent="0.25">
      <c r="A301" s="90" t="s">
        <v>0</v>
      </c>
      <c r="B301" s="34">
        <v>20988</v>
      </c>
      <c r="C301" s="34"/>
      <c r="D301" s="33" t="s">
        <v>254</v>
      </c>
      <c r="E301" s="33" t="s">
        <v>50</v>
      </c>
      <c r="F301" s="34" t="s">
        <v>347</v>
      </c>
      <c r="G301" s="33" t="s">
        <v>206</v>
      </c>
      <c r="H301" s="33" t="s">
        <v>760</v>
      </c>
      <c r="I301" s="8">
        <v>18.2</v>
      </c>
      <c r="J301" s="19">
        <f t="shared" si="11"/>
        <v>18.2</v>
      </c>
    </row>
    <row r="302" spans="1:11" ht="12" customHeight="1" x14ac:dyDescent="0.2">
      <c r="A302" s="101" t="s">
        <v>952</v>
      </c>
      <c r="B302" s="102"/>
      <c r="C302" s="102"/>
      <c r="D302" s="102"/>
      <c r="E302" s="102"/>
      <c r="F302" s="102"/>
      <c r="G302" s="102"/>
      <c r="H302" s="102"/>
      <c r="I302" s="102"/>
      <c r="J302" s="103"/>
    </row>
    <row r="303" spans="1:11" ht="12" customHeight="1" x14ac:dyDescent="0.2">
      <c r="A303" s="83" t="s">
        <v>0</v>
      </c>
      <c r="B303" s="4">
        <v>21011</v>
      </c>
      <c r="C303" s="4"/>
      <c r="D303" s="3" t="s">
        <v>255</v>
      </c>
      <c r="E303" s="3" t="s">
        <v>2</v>
      </c>
      <c r="F303" s="4" t="s">
        <v>346</v>
      </c>
      <c r="G303" s="3" t="s">
        <v>953</v>
      </c>
      <c r="H303" s="3" t="s">
        <v>752</v>
      </c>
      <c r="I303" s="5">
        <v>54</v>
      </c>
      <c r="J303" s="23">
        <f t="shared" ref="J303:J326" si="12">IF(I303="on request","on request",IF(F303="Box",I303*(100%-$C$3),IF(F303="License",I303*(100%-$C$4),IF(F303="Renewal",I303*(100%-$C$5),IF(F303="ESD",I303*(100%-$C$3),I303)))))</f>
        <v>54</v>
      </c>
      <c r="K303" s="561"/>
    </row>
    <row r="304" spans="1:11" ht="12" customHeight="1" x14ac:dyDescent="0.2">
      <c r="A304" s="83" t="s">
        <v>0</v>
      </c>
      <c r="B304" s="4">
        <v>21012</v>
      </c>
      <c r="C304" s="4"/>
      <c r="D304" s="3" t="s">
        <v>256</v>
      </c>
      <c r="E304" s="3" t="s">
        <v>5</v>
      </c>
      <c r="F304" s="4" t="s">
        <v>346</v>
      </c>
      <c r="G304" s="3" t="s">
        <v>953</v>
      </c>
      <c r="H304" s="3" t="s">
        <v>752</v>
      </c>
      <c r="I304" s="5">
        <v>45.36</v>
      </c>
      <c r="J304" s="23">
        <f t="shared" si="12"/>
        <v>45.36</v>
      </c>
      <c r="K304" s="561"/>
    </row>
    <row r="305" spans="1:11" ht="12" customHeight="1" x14ac:dyDescent="0.2">
      <c r="A305" s="83" t="s">
        <v>0</v>
      </c>
      <c r="B305" s="4">
        <v>21013</v>
      </c>
      <c r="C305" s="4"/>
      <c r="D305" s="3" t="s">
        <v>257</v>
      </c>
      <c r="E305" s="3" t="s">
        <v>7</v>
      </c>
      <c r="F305" s="4" t="s">
        <v>346</v>
      </c>
      <c r="G305" s="3" t="s">
        <v>953</v>
      </c>
      <c r="H305" s="3" t="s">
        <v>752</v>
      </c>
      <c r="I305" s="5">
        <v>36.179999999999993</v>
      </c>
      <c r="J305" s="23">
        <f t="shared" si="12"/>
        <v>36.179999999999993</v>
      </c>
      <c r="K305" s="561"/>
    </row>
    <row r="306" spans="1:11" ht="12" customHeight="1" x14ac:dyDescent="0.2">
      <c r="A306" s="83" t="s">
        <v>0</v>
      </c>
      <c r="B306" s="4">
        <v>21014</v>
      </c>
      <c r="C306" s="4"/>
      <c r="D306" s="3" t="s">
        <v>258</v>
      </c>
      <c r="E306" s="3" t="s">
        <v>9</v>
      </c>
      <c r="F306" s="4" t="s">
        <v>346</v>
      </c>
      <c r="G306" s="3" t="s">
        <v>953</v>
      </c>
      <c r="H306" s="3" t="s">
        <v>752</v>
      </c>
      <c r="I306" s="5">
        <v>28.08</v>
      </c>
      <c r="J306" s="23">
        <f t="shared" si="12"/>
        <v>28.08</v>
      </c>
      <c r="K306" s="561"/>
    </row>
    <row r="307" spans="1:11" ht="12" customHeight="1" x14ac:dyDescent="0.2">
      <c r="A307" s="83" t="s">
        <v>0</v>
      </c>
      <c r="B307" s="4">
        <v>21015</v>
      </c>
      <c r="C307" s="4"/>
      <c r="D307" s="3" t="s">
        <v>259</v>
      </c>
      <c r="E307" s="3" t="s">
        <v>11</v>
      </c>
      <c r="F307" s="4" t="s">
        <v>346</v>
      </c>
      <c r="G307" s="3" t="s">
        <v>953</v>
      </c>
      <c r="H307" s="3" t="s">
        <v>752</v>
      </c>
      <c r="I307" s="5">
        <v>24.839999999999996</v>
      </c>
      <c r="J307" s="23">
        <f t="shared" si="12"/>
        <v>24.839999999999996</v>
      </c>
      <c r="K307" s="561"/>
    </row>
    <row r="308" spans="1:11" ht="12" customHeight="1" x14ac:dyDescent="0.2">
      <c r="A308" s="83" t="s">
        <v>0</v>
      </c>
      <c r="B308" s="4">
        <v>21016</v>
      </c>
      <c r="C308" s="4"/>
      <c r="D308" s="3" t="s">
        <v>260</v>
      </c>
      <c r="E308" s="3" t="s">
        <v>13</v>
      </c>
      <c r="F308" s="4" t="s">
        <v>346</v>
      </c>
      <c r="G308" s="3" t="s">
        <v>953</v>
      </c>
      <c r="H308" s="3" t="s">
        <v>752</v>
      </c>
      <c r="I308" s="5">
        <v>21.599999999999998</v>
      </c>
      <c r="J308" s="23">
        <f t="shared" si="12"/>
        <v>21.599999999999998</v>
      </c>
      <c r="K308" s="561"/>
    </row>
    <row r="309" spans="1:11" ht="12" customHeight="1" x14ac:dyDescent="0.2">
      <c r="A309" s="83" t="s">
        <v>0</v>
      </c>
      <c r="B309" s="4">
        <v>21017</v>
      </c>
      <c r="C309" s="4"/>
      <c r="D309" s="3" t="s">
        <v>261</v>
      </c>
      <c r="E309" s="3" t="s">
        <v>15</v>
      </c>
      <c r="F309" s="4" t="s">
        <v>346</v>
      </c>
      <c r="G309" s="3" t="s">
        <v>953</v>
      </c>
      <c r="H309" s="3" t="s">
        <v>752</v>
      </c>
      <c r="I309" s="5">
        <v>19.439999999999998</v>
      </c>
      <c r="J309" s="23">
        <f t="shared" si="12"/>
        <v>19.439999999999998</v>
      </c>
      <c r="K309" s="561"/>
    </row>
    <row r="310" spans="1:11" ht="12" customHeight="1" x14ac:dyDescent="0.2">
      <c r="A310" s="83" t="s">
        <v>0</v>
      </c>
      <c r="B310" s="4">
        <v>21018</v>
      </c>
      <c r="C310" s="4"/>
      <c r="D310" s="3" t="s">
        <v>262</v>
      </c>
      <c r="E310" s="3" t="s">
        <v>17</v>
      </c>
      <c r="F310" s="4" t="s">
        <v>346</v>
      </c>
      <c r="G310" s="3" t="s">
        <v>953</v>
      </c>
      <c r="H310" s="3" t="s">
        <v>752</v>
      </c>
      <c r="I310" s="5">
        <v>17.28</v>
      </c>
      <c r="J310" s="23">
        <f t="shared" si="12"/>
        <v>17.28</v>
      </c>
      <c r="K310" s="561"/>
    </row>
    <row r="311" spans="1:11" ht="12" customHeight="1" x14ac:dyDescent="0.2">
      <c r="A311" s="83" t="s">
        <v>0</v>
      </c>
      <c r="B311" s="4">
        <v>21021</v>
      </c>
      <c r="C311" s="4"/>
      <c r="D311" s="3" t="s">
        <v>263</v>
      </c>
      <c r="E311" s="3" t="s">
        <v>2</v>
      </c>
      <c r="F311" s="4" t="s">
        <v>346</v>
      </c>
      <c r="G311" s="3" t="s">
        <v>953</v>
      </c>
      <c r="H311" s="3" t="s">
        <v>753</v>
      </c>
      <c r="I311" s="5">
        <v>75.599999999999994</v>
      </c>
      <c r="J311" s="23">
        <f t="shared" si="12"/>
        <v>75.599999999999994</v>
      </c>
      <c r="K311" s="561"/>
    </row>
    <row r="312" spans="1:11" ht="12" customHeight="1" x14ac:dyDescent="0.2">
      <c r="A312" s="83" t="s">
        <v>0</v>
      </c>
      <c r="B312" s="4">
        <v>21022</v>
      </c>
      <c r="C312" s="4"/>
      <c r="D312" s="3" t="s">
        <v>264</v>
      </c>
      <c r="E312" s="3" t="s">
        <v>5</v>
      </c>
      <c r="F312" s="4" t="s">
        <v>346</v>
      </c>
      <c r="G312" s="3" t="s">
        <v>953</v>
      </c>
      <c r="H312" s="3" t="s">
        <v>753</v>
      </c>
      <c r="I312" s="5">
        <v>66.959999999999994</v>
      </c>
      <c r="J312" s="23">
        <f t="shared" si="12"/>
        <v>66.959999999999994</v>
      </c>
      <c r="K312" s="561"/>
    </row>
    <row r="313" spans="1:11" ht="12" customHeight="1" x14ac:dyDescent="0.2">
      <c r="A313" s="83" t="s">
        <v>0</v>
      </c>
      <c r="B313" s="4">
        <v>21023</v>
      </c>
      <c r="C313" s="4"/>
      <c r="D313" s="3" t="s">
        <v>265</v>
      </c>
      <c r="E313" s="3" t="s">
        <v>7</v>
      </c>
      <c r="F313" s="4" t="s">
        <v>346</v>
      </c>
      <c r="G313" s="3" t="s">
        <v>953</v>
      </c>
      <c r="H313" s="3" t="s">
        <v>753</v>
      </c>
      <c r="I313" s="5">
        <v>51.839999999999989</v>
      </c>
      <c r="J313" s="23">
        <f t="shared" si="12"/>
        <v>51.839999999999989</v>
      </c>
      <c r="K313" s="561"/>
    </row>
    <row r="314" spans="1:11" ht="12" customHeight="1" x14ac:dyDescent="0.2">
      <c r="A314" s="83" t="s">
        <v>0</v>
      </c>
      <c r="B314" s="4">
        <v>21024</v>
      </c>
      <c r="C314" s="4"/>
      <c r="D314" s="3" t="s">
        <v>266</v>
      </c>
      <c r="E314" s="3" t="s">
        <v>9</v>
      </c>
      <c r="F314" s="4" t="s">
        <v>346</v>
      </c>
      <c r="G314" s="3" t="s">
        <v>953</v>
      </c>
      <c r="H314" s="3" t="s">
        <v>753</v>
      </c>
      <c r="I314" s="5">
        <v>43.199999999999996</v>
      </c>
      <c r="J314" s="23">
        <f t="shared" si="12"/>
        <v>43.199999999999996</v>
      </c>
      <c r="K314" s="561"/>
    </row>
    <row r="315" spans="1:11" ht="12" customHeight="1" x14ac:dyDescent="0.2">
      <c r="A315" s="83" t="s">
        <v>0</v>
      </c>
      <c r="B315" s="4">
        <v>21025</v>
      </c>
      <c r="C315" s="4"/>
      <c r="D315" s="3" t="s">
        <v>267</v>
      </c>
      <c r="E315" s="3" t="s">
        <v>11</v>
      </c>
      <c r="F315" s="4" t="s">
        <v>346</v>
      </c>
      <c r="G315" s="3" t="s">
        <v>953</v>
      </c>
      <c r="H315" s="3" t="s">
        <v>753</v>
      </c>
      <c r="I315" s="5">
        <v>37.799999999999997</v>
      </c>
      <c r="J315" s="23">
        <f t="shared" si="12"/>
        <v>37.799999999999997</v>
      </c>
      <c r="K315" s="561"/>
    </row>
    <row r="316" spans="1:11" ht="12" customHeight="1" x14ac:dyDescent="0.2">
      <c r="A316" s="83" t="s">
        <v>0</v>
      </c>
      <c r="B316" s="4">
        <v>21026</v>
      </c>
      <c r="C316" s="4"/>
      <c r="D316" s="3" t="s">
        <v>268</v>
      </c>
      <c r="E316" s="3" t="s">
        <v>13</v>
      </c>
      <c r="F316" s="4" t="s">
        <v>346</v>
      </c>
      <c r="G316" s="3" t="s">
        <v>953</v>
      </c>
      <c r="H316" s="3" t="s">
        <v>753</v>
      </c>
      <c r="I316" s="5">
        <v>32.4</v>
      </c>
      <c r="J316" s="23">
        <f t="shared" si="12"/>
        <v>32.4</v>
      </c>
      <c r="K316" s="561"/>
    </row>
    <row r="317" spans="1:11" ht="12" customHeight="1" x14ac:dyDescent="0.2">
      <c r="A317" s="83" t="s">
        <v>0</v>
      </c>
      <c r="B317" s="4">
        <v>21027</v>
      </c>
      <c r="C317" s="4"/>
      <c r="D317" s="3" t="s">
        <v>269</v>
      </c>
      <c r="E317" s="3" t="s">
        <v>15</v>
      </c>
      <c r="F317" s="4" t="s">
        <v>346</v>
      </c>
      <c r="G317" s="3" t="s">
        <v>953</v>
      </c>
      <c r="H317" s="3" t="s">
        <v>753</v>
      </c>
      <c r="I317" s="5">
        <v>29.159999999999997</v>
      </c>
      <c r="J317" s="23">
        <f t="shared" si="12"/>
        <v>29.159999999999997</v>
      </c>
      <c r="K317" s="561"/>
    </row>
    <row r="318" spans="1:11" ht="12" customHeight="1" x14ac:dyDescent="0.2">
      <c r="A318" s="83" t="s">
        <v>0</v>
      </c>
      <c r="B318" s="4">
        <v>21028</v>
      </c>
      <c r="C318" s="4"/>
      <c r="D318" s="3" t="s">
        <v>270</v>
      </c>
      <c r="E318" s="3" t="s">
        <v>17</v>
      </c>
      <c r="F318" s="4" t="s">
        <v>346</v>
      </c>
      <c r="G318" s="3" t="s">
        <v>953</v>
      </c>
      <c r="H318" s="3" t="s">
        <v>753</v>
      </c>
      <c r="I318" s="5">
        <v>27</v>
      </c>
      <c r="J318" s="23">
        <f t="shared" si="12"/>
        <v>27</v>
      </c>
      <c r="K318" s="561"/>
    </row>
    <row r="319" spans="1:11" ht="12" customHeight="1" x14ac:dyDescent="0.2">
      <c r="A319" s="83" t="s">
        <v>0</v>
      </c>
      <c r="B319" s="4">
        <v>21031</v>
      </c>
      <c r="C319" s="4"/>
      <c r="D319" s="3" t="s">
        <v>271</v>
      </c>
      <c r="E319" s="3" t="s">
        <v>2</v>
      </c>
      <c r="F319" s="4" t="s">
        <v>346</v>
      </c>
      <c r="G319" s="3" t="s">
        <v>953</v>
      </c>
      <c r="H319" s="3" t="s">
        <v>755</v>
      </c>
      <c r="I319" s="5">
        <v>96.12</v>
      </c>
      <c r="J319" s="23">
        <f t="shared" si="12"/>
        <v>96.12</v>
      </c>
      <c r="K319" s="561"/>
    </row>
    <row r="320" spans="1:11" ht="12" customHeight="1" x14ac:dyDescent="0.2">
      <c r="A320" s="83" t="s">
        <v>0</v>
      </c>
      <c r="B320" s="4">
        <v>21032</v>
      </c>
      <c r="C320" s="4"/>
      <c r="D320" s="3" t="s">
        <v>272</v>
      </c>
      <c r="E320" s="3" t="s">
        <v>5</v>
      </c>
      <c r="F320" s="4" t="s">
        <v>346</v>
      </c>
      <c r="G320" s="3" t="s">
        <v>953</v>
      </c>
      <c r="H320" s="3" t="s">
        <v>755</v>
      </c>
      <c r="I320" s="5">
        <v>85.32</v>
      </c>
      <c r="J320" s="23">
        <f t="shared" si="12"/>
        <v>85.32</v>
      </c>
      <c r="K320" s="561"/>
    </row>
    <row r="321" spans="1:11" ht="12" customHeight="1" x14ac:dyDescent="0.2">
      <c r="A321" s="83" t="s">
        <v>0</v>
      </c>
      <c r="B321" s="4">
        <v>21033</v>
      </c>
      <c r="C321" s="4"/>
      <c r="D321" s="3" t="s">
        <v>273</v>
      </c>
      <c r="E321" s="3" t="s">
        <v>7</v>
      </c>
      <c r="F321" s="4" t="s">
        <v>346</v>
      </c>
      <c r="G321" s="3" t="s">
        <v>953</v>
      </c>
      <c r="H321" s="3" t="s">
        <v>755</v>
      </c>
      <c r="I321" s="5">
        <v>73.44</v>
      </c>
      <c r="J321" s="23">
        <f t="shared" si="12"/>
        <v>73.44</v>
      </c>
      <c r="K321" s="561"/>
    </row>
    <row r="322" spans="1:11" ht="12" customHeight="1" x14ac:dyDescent="0.2">
      <c r="A322" s="83" t="s">
        <v>0</v>
      </c>
      <c r="B322" s="4">
        <v>21034</v>
      </c>
      <c r="C322" s="4"/>
      <c r="D322" s="3" t="s">
        <v>274</v>
      </c>
      <c r="E322" s="3" t="s">
        <v>9</v>
      </c>
      <c r="F322" s="4" t="s">
        <v>346</v>
      </c>
      <c r="G322" s="3" t="s">
        <v>953</v>
      </c>
      <c r="H322" s="3" t="s">
        <v>755</v>
      </c>
      <c r="I322" s="5">
        <v>62.64</v>
      </c>
      <c r="J322" s="23">
        <f t="shared" si="12"/>
        <v>62.64</v>
      </c>
      <c r="K322" s="561"/>
    </row>
    <row r="323" spans="1:11" ht="12" customHeight="1" x14ac:dyDescent="0.2">
      <c r="A323" s="83" t="s">
        <v>0</v>
      </c>
      <c r="B323" s="4">
        <v>21035</v>
      </c>
      <c r="C323" s="4"/>
      <c r="D323" s="3" t="s">
        <v>275</v>
      </c>
      <c r="E323" s="3" t="s">
        <v>11</v>
      </c>
      <c r="F323" s="4" t="s">
        <v>346</v>
      </c>
      <c r="G323" s="3" t="s">
        <v>953</v>
      </c>
      <c r="H323" s="3" t="s">
        <v>755</v>
      </c>
      <c r="I323" s="5">
        <v>52.919999999999987</v>
      </c>
      <c r="J323" s="23">
        <f t="shared" si="12"/>
        <v>52.919999999999987</v>
      </c>
      <c r="K323" s="561"/>
    </row>
    <row r="324" spans="1:11" ht="12" customHeight="1" x14ac:dyDescent="0.2">
      <c r="A324" s="83" t="s">
        <v>0</v>
      </c>
      <c r="B324" s="4">
        <v>21036</v>
      </c>
      <c r="C324" s="4"/>
      <c r="D324" s="3" t="s">
        <v>276</v>
      </c>
      <c r="E324" s="3" t="s">
        <v>13</v>
      </c>
      <c r="F324" s="4" t="s">
        <v>346</v>
      </c>
      <c r="G324" s="3" t="s">
        <v>953</v>
      </c>
      <c r="H324" s="3" t="s">
        <v>755</v>
      </c>
      <c r="I324" s="5">
        <v>44.279999999999994</v>
      </c>
      <c r="J324" s="23">
        <f t="shared" si="12"/>
        <v>44.279999999999994</v>
      </c>
      <c r="K324" s="561"/>
    </row>
    <row r="325" spans="1:11" ht="12" customHeight="1" x14ac:dyDescent="0.2">
      <c r="A325" s="83" t="s">
        <v>0</v>
      </c>
      <c r="B325" s="4">
        <v>21037</v>
      </c>
      <c r="C325" s="4"/>
      <c r="D325" s="3" t="s">
        <v>277</v>
      </c>
      <c r="E325" s="3" t="s">
        <v>15</v>
      </c>
      <c r="F325" s="4" t="s">
        <v>346</v>
      </c>
      <c r="G325" s="3" t="s">
        <v>953</v>
      </c>
      <c r="H325" s="3" t="s">
        <v>755</v>
      </c>
      <c r="I325" s="5">
        <v>39.959999999999994</v>
      </c>
      <c r="J325" s="23">
        <f t="shared" si="12"/>
        <v>39.959999999999994</v>
      </c>
      <c r="K325" s="561"/>
    </row>
    <row r="326" spans="1:11" ht="12" customHeight="1" thickBot="1" x14ac:dyDescent="0.25">
      <c r="A326" s="84" t="s">
        <v>0</v>
      </c>
      <c r="B326" s="24">
        <v>21038</v>
      </c>
      <c r="C326" s="24"/>
      <c r="D326" s="25" t="s">
        <v>278</v>
      </c>
      <c r="E326" s="25" t="s">
        <v>17</v>
      </c>
      <c r="F326" s="24" t="s">
        <v>346</v>
      </c>
      <c r="G326" s="25" t="s">
        <v>953</v>
      </c>
      <c r="H326" s="25" t="s">
        <v>755</v>
      </c>
      <c r="I326" s="5">
        <v>35.64</v>
      </c>
      <c r="J326" s="27">
        <f t="shared" si="12"/>
        <v>35.64</v>
      </c>
      <c r="K326" s="561"/>
    </row>
    <row r="327" spans="1:11" ht="12" customHeight="1" x14ac:dyDescent="0.2">
      <c r="A327" s="101" t="s">
        <v>954</v>
      </c>
      <c r="B327" s="102"/>
      <c r="C327" s="102"/>
      <c r="D327" s="102"/>
      <c r="E327" s="102"/>
      <c r="F327" s="102"/>
      <c r="G327" s="102"/>
      <c r="H327" s="102"/>
      <c r="I327" s="114"/>
      <c r="J327" s="103"/>
    </row>
    <row r="328" spans="1:11" ht="12" customHeight="1" x14ac:dyDescent="0.2">
      <c r="A328" s="85" t="s">
        <v>0</v>
      </c>
      <c r="B328" s="7">
        <v>21061</v>
      </c>
      <c r="C328" s="7"/>
      <c r="D328" s="6" t="s">
        <v>279</v>
      </c>
      <c r="E328" s="6" t="s">
        <v>36</v>
      </c>
      <c r="F328" s="7" t="s">
        <v>347</v>
      </c>
      <c r="G328" s="6" t="s">
        <v>953</v>
      </c>
      <c r="H328" s="6" t="s">
        <v>758</v>
      </c>
      <c r="I328" s="8">
        <v>28.8</v>
      </c>
      <c r="J328" s="19">
        <f t="shared" ref="J328:J351" si="13">IF(I328="on request","on request",IF(F328="Box",I328*(100%-$C$3),IF(F328="License",I328*(100%-$C$4),IF(F328="Renewal",I328*(100%-$C$5),IF(F328="ESD",I328*(100%-$C$3),I328)))))</f>
        <v>28.8</v>
      </c>
    </row>
    <row r="329" spans="1:11" ht="12" customHeight="1" x14ac:dyDescent="0.2">
      <c r="A329" s="85" t="s">
        <v>0</v>
      </c>
      <c r="B329" s="7">
        <v>21062</v>
      </c>
      <c r="C329" s="7"/>
      <c r="D329" s="6" t="s">
        <v>280</v>
      </c>
      <c r="E329" s="6" t="s">
        <v>38</v>
      </c>
      <c r="F329" s="7" t="s">
        <v>347</v>
      </c>
      <c r="G329" s="6" t="s">
        <v>953</v>
      </c>
      <c r="H329" s="6" t="s">
        <v>758</v>
      </c>
      <c r="I329" s="8">
        <v>28.223999999999997</v>
      </c>
      <c r="J329" s="19">
        <f t="shared" si="13"/>
        <v>28.223999999999997</v>
      </c>
    </row>
    <row r="330" spans="1:11" ht="12" customHeight="1" x14ac:dyDescent="0.2">
      <c r="A330" s="85" t="s">
        <v>0</v>
      </c>
      <c r="B330" s="7">
        <v>21063</v>
      </c>
      <c r="C330" s="7"/>
      <c r="D330" s="6" t="s">
        <v>281</v>
      </c>
      <c r="E330" s="6" t="s">
        <v>40</v>
      </c>
      <c r="F330" s="7" t="s">
        <v>347</v>
      </c>
      <c r="G330" s="6" t="s">
        <v>953</v>
      </c>
      <c r="H330" s="6" t="s">
        <v>758</v>
      </c>
      <c r="I330" s="8">
        <v>23.731200000000001</v>
      </c>
      <c r="J330" s="19">
        <f t="shared" si="13"/>
        <v>23.731200000000001</v>
      </c>
    </row>
    <row r="331" spans="1:11" ht="12" customHeight="1" x14ac:dyDescent="0.2">
      <c r="A331" s="85" t="s">
        <v>0</v>
      </c>
      <c r="B331" s="7">
        <v>21064</v>
      </c>
      <c r="C331" s="7"/>
      <c r="D331" s="6" t="s">
        <v>282</v>
      </c>
      <c r="E331" s="6" t="s">
        <v>42</v>
      </c>
      <c r="F331" s="7" t="s">
        <v>347</v>
      </c>
      <c r="G331" s="6" t="s">
        <v>953</v>
      </c>
      <c r="H331" s="6" t="s">
        <v>758</v>
      </c>
      <c r="I331" s="8">
        <v>22.233599999999999</v>
      </c>
      <c r="J331" s="19">
        <f t="shared" si="13"/>
        <v>22.233599999999999</v>
      </c>
    </row>
    <row r="332" spans="1:11" ht="12" customHeight="1" x14ac:dyDescent="0.2">
      <c r="A332" s="85" t="s">
        <v>0</v>
      </c>
      <c r="B332" s="7">
        <v>21065</v>
      </c>
      <c r="C332" s="7"/>
      <c r="D332" s="6" t="s">
        <v>283</v>
      </c>
      <c r="E332" s="6" t="s">
        <v>44</v>
      </c>
      <c r="F332" s="7" t="s">
        <v>347</v>
      </c>
      <c r="G332" s="6" t="s">
        <v>953</v>
      </c>
      <c r="H332" s="6" t="s">
        <v>758</v>
      </c>
      <c r="I332" s="8">
        <v>18.0288</v>
      </c>
      <c r="J332" s="19">
        <f t="shared" si="13"/>
        <v>18.0288</v>
      </c>
    </row>
    <row r="333" spans="1:11" ht="12" customHeight="1" x14ac:dyDescent="0.2">
      <c r="A333" s="85" t="s">
        <v>0</v>
      </c>
      <c r="B333" s="7">
        <v>21066</v>
      </c>
      <c r="C333" s="7"/>
      <c r="D333" s="6" t="s">
        <v>284</v>
      </c>
      <c r="E333" s="6" t="s">
        <v>46</v>
      </c>
      <c r="F333" s="7" t="s">
        <v>347</v>
      </c>
      <c r="G333" s="6" t="s">
        <v>953</v>
      </c>
      <c r="H333" s="6" t="s">
        <v>758</v>
      </c>
      <c r="I333" s="8">
        <v>14.123519999999999</v>
      </c>
      <c r="J333" s="19">
        <f t="shared" si="13"/>
        <v>14.123519999999999</v>
      </c>
    </row>
    <row r="334" spans="1:11" ht="12" customHeight="1" x14ac:dyDescent="0.2">
      <c r="A334" s="85" t="s">
        <v>0</v>
      </c>
      <c r="B334" s="7">
        <v>21067</v>
      </c>
      <c r="C334" s="7"/>
      <c r="D334" s="6" t="s">
        <v>285</v>
      </c>
      <c r="E334" s="6" t="s">
        <v>48</v>
      </c>
      <c r="F334" s="7" t="s">
        <v>347</v>
      </c>
      <c r="G334" s="6" t="s">
        <v>953</v>
      </c>
      <c r="H334" s="6" t="s">
        <v>758</v>
      </c>
      <c r="I334" s="8">
        <v>12.245760000000001</v>
      </c>
      <c r="J334" s="19">
        <f t="shared" si="13"/>
        <v>12.245760000000001</v>
      </c>
    </row>
    <row r="335" spans="1:11" ht="12" customHeight="1" x14ac:dyDescent="0.2">
      <c r="A335" s="85" t="s">
        <v>0</v>
      </c>
      <c r="B335" s="7">
        <v>21068</v>
      </c>
      <c r="C335" s="7"/>
      <c r="D335" s="6" t="s">
        <v>286</v>
      </c>
      <c r="E335" s="6" t="s">
        <v>50</v>
      </c>
      <c r="F335" s="7" t="s">
        <v>347</v>
      </c>
      <c r="G335" s="6" t="s">
        <v>953</v>
      </c>
      <c r="H335" s="6" t="s">
        <v>758</v>
      </c>
      <c r="I335" s="8">
        <v>10.4832</v>
      </c>
      <c r="J335" s="19">
        <f t="shared" si="13"/>
        <v>10.4832</v>
      </c>
    </row>
    <row r="336" spans="1:11" ht="12" customHeight="1" x14ac:dyDescent="0.2">
      <c r="A336" s="85" t="s">
        <v>0</v>
      </c>
      <c r="B336" s="7">
        <v>21071</v>
      </c>
      <c r="C336" s="7"/>
      <c r="D336" s="6" t="s">
        <v>287</v>
      </c>
      <c r="E336" s="6" t="s">
        <v>36</v>
      </c>
      <c r="F336" s="7" t="s">
        <v>347</v>
      </c>
      <c r="G336" s="6" t="s">
        <v>953</v>
      </c>
      <c r="H336" s="6" t="s">
        <v>759</v>
      </c>
      <c r="I336" s="8">
        <v>50.400000000000006</v>
      </c>
      <c r="J336" s="19">
        <f t="shared" si="13"/>
        <v>50.400000000000006</v>
      </c>
    </row>
    <row r="337" spans="1:10" ht="12" customHeight="1" x14ac:dyDescent="0.2">
      <c r="A337" s="85" t="s">
        <v>0</v>
      </c>
      <c r="B337" s="7">
        <v>21072</v>
      </c>
      <c r="C337" s="7"/>
      <c r="D337" s="6" t="s">
        <v>288</v>
      </c>
      <c r="E337" s="6" t="s">
        <v>38</v>
      </c>
      <c r="F337" s="7" t="s">
        <v>347</v>
      </c>
      <c r="G337" s="6" t="s">
        <v>953</v>
      </c>
      <c r="H337" s="6" t="s">
        <v>759</v>
      </c>
      <c r="I337" s="8">
        <v>49.391999999999996</v>
      </c>
      <c r="J337" s="19">
        <f t="shared" si="13"/>
        <v>49.391999999999996</v>
      </c>
    </row>
    <row r="338" spans="1:10" ht="12" customHeight="1" x14ac:dyDescent="0.2">
      <c r="A338" s="85" t="s">
        <v>0</v>
      </c>
      <c r="B338" s="7">
        <v>21073</v>
      </c>
      <c r="C338" s="7"/>
      <c r="D338" s="6" t="s">
        <v>289</v>
      </c>
      <c r="E338" s="6" t="s">
        <v>40</v>
      </c>
      <c r="F338" s="7" t="s">
        <v>347</v>
      </c>
      <c r="G338" s="6" t="s">
        <v>953</v>
      </c>
      <c r="H338" s="6" t="s">
        <v>759</v>
      </c>
      <c r="I338" s="8">
        <v>41.529600000000009</v>
      </c>
      <c r="J338" s="19">
        <f t="shared" si="13"/>
        <v>41.529600000000009</v>
      </c>
    </row>
    <row r="339" spans="1:10" ht="12" customHeight="1" x14ac:dyDescent="0.2">
      <c r="A339" s="85" t="s">
        <v>0</v>
      </c>
      <c r="B339" s="7">
        <v>21074</v>
      </c>
      <c r="C339" s="7"/>
      <c r="D339" s="6" t="s">
        <v>290</v>
      </c>
      <c r="E339" s="6" t="s">
        <v>42</v>
      </c>
      <c r="F339" s="7" t="s">
        <v>347</v>
      </c>
      <c r="G339" s="6" t="s">
        <v>953</v>
      </c>
      <c r="H339" s="6" t="s">
        <v>759</v>
      </c>
      <c r="I339" s="8">
        <v>38.908800000000006</v>
      </c>
      <c r="J339" s="19">
        <f t="shared" si="13"/>
        <v>38.908800000000006</v>
      </c>
    </row>
    <row r="340" spans="1:10" ht="12" customHeight="1" x14ac:dyDescent="0.2">
      <c r="A340" s="85" t="s">
        <v>0</v>
      </c>
      <c r="B340" s="7">
        <v>21075</v>
      </c>
      <c r="C340" s="7"/>
      <c r="D340" s="6" t="s">
        <v>291</v>
      </c>
      <c r="E340" s="6" t="s">
        <v>44</v>
      </c>
      <c r="F340" s="7" t="s">
        <v>347</v>
      </c>
      <c r="G340" s="6" t="s">
        <v>953</v>
      </c>
      <c r="H340" s="6" t="s">
        <v>759</v>
      </c>
      <c r="I340" s="8">
        <v>31.550400000000003</v>
      </c>
      <c r="J340" s="19">
        <f t="shared" si="13"/>
        <v>31.550400000000003</v>
      </c>
    </row>
    <row r="341" spans="1:10" ht="12" customHeight="1" x14ac:dyDescent="0.2">
      <c r="A341" s="85" t="s">
        <v>0</v>
      </c>
      <c r="B341" s="7">
        <v>21076</v>
      </c>
      <c r="C341" s="7"/>
      <c r="D341" s="6" t="s">
        <v>292</v>
      </c>
      <c r="E341" s="6" t="s">
        <v>46</v>
      </c>
      <c r="F341" s="7" t="s">
        <v>347</v>
      </c>
      <c r="G341" s="6" t="s">
        <v>953</v>
      </c>
      <c r="H341" s="6" t="s">
        <v>759</v>
      </c>
      <c r="I341" s="8">
        <v>24.716159999999999</v>
      </c>
      <c r="J341" s="19">
        <f t="shared" si="13"/>
        <v>24.716159999999999</v>
      </c>
    </row>
    <row r="342" spans="1:10" ht="12" customHeight="1" x14ac:dyDescent="0.2">
      <c r="A342" s="85" t="s">
        <v>0</v>
      </c>
      <c r="B342" s="7">
        <v>21077</v>
      </c>
      <c r="C342" s="7"/>
      <c r="D342" s="6" t="s">
        <v>293</v>
      </c>
      <c r="E342" s="6" t="s">
        <v>48</v>
      </c>
      <c r="F342" s="7" t="s">
        <v>347</v>
      </c>
      <c r="G342" s="6" t="s">
        <v>953</v>
      </c>
      <c r="H342" s="6" t="s">
        <v>759</v>
      </c>
      <c r="I342" s="8">
        <v>21.430080000000004</v>
      </c>
      <c r="J342" s="19">
        <f t="shared" si="13"/>
        <v>21.430080000000004</v>
      </c>
    </row>
    <row r="343" spans="1:10" ht="12" customHeight="1" x14ac:dyDescent="0.2">
      <c r="A343" s="85" t="s">
        <v>0</v>
      </c>
      <c r="B343" s="7">
        <v>21078</v>
      </c>
      <c r="C343" s="7"/>
      <c r="D343" s="6" t="s">
        <v>294</v>
      </c>
      <c r="E343" s="6" t="s">
        <v>50</v>
      </c>
      <c r="F343" s="7" t="s">
        <v>347</v>
      </c>
      <c r="G343" s="6" t="s">
        <v>953</v>
      </c>
      <c r="H343" s="6" t="s">
        <v>759</v>
      </c>
      <c r="I343" s="8">
        <v>16.224</v>
      </c>
      <c r="J343" s="19">
        <f t="shared" si="13"/>
        <v>16.224</v>
      </c>
    </row>
    <row r="344" spans="1:10" ht="12" customHeight="1" x14ac:dyDescent="0.2">
      <c r="A344" s="85" t="s">
        <v>0</v>
      </c>
      <c r="B344" s="7">
        <v>21081</v>
      </c>
      <c r="C344" s="7"/>
      <c r="D344" s="6" t="s">
        <v>295</v>
      </c>
      <c r="E344" s="6" t="s">
        <v>36</v>
      </c>
      <c r="F344" s="7" t="s">
        <v>347</v>
      </c>
      <c r="G344" s="6" t="s">
        <v>953</v>
      </c>
      <c r="H344" s="6" t="s">
        <v>760</v>
      </c>
      <c r="I344" s="8">
        <v>72</v>
      </c>
      <c r="J344" s="19">
        <f t="shared" si="13"/>
        <v>72</v>
      </c>
    </row>
    <row r="345" spans="1:10" ht="12" customHeight="1" x14ac:dyDescent="0.2">
      <c r="A345" s="85" t="s">
        <v>0</v>
      </c>
      <c r="B345" s="7">
        <v>21082</v>
      </c>
      <c r="C345" s="7"/>
      <c r="D345" s="6" t="s">
        <v>296</v>
      </c>
      <c r="E345" s="6" t="s">
        <v>38</v>
      </c>
      <c r="F345" s="7" t="s">
        <v>347</v>
      </c>
      <c r="G345" s="6" t="s">
        <v>953</v>
      </c>
      <c r="H345" s="6" t="s">
        <v>760</v>
      </c>
      <c r="I345" s="8">
        <v>70.56</v>
      </c>
      <c r="J345" s="19">
        <f t="shared" si="13"/>
        <v>70.56</v>
      </c>
    </row>
    <row r="346" spans="1:10" ht="12" customHeight="1" x14ac:dyDescent="0.2">
      <c r="A346" s="85" t="s">
        <v>0</v>
      </c>
      <c r="B346" s="7">
        <v>21083</v>
      </c>
      <c r="C346" s="7"/>
      <c r="D346" s="6" t="s">
        <v>297</v>
      </c>
      <c r="E346" s="6" t="s">
        <v>40</v>
      </c>
      <c r="F346" s="7" t="s">
        <v>347</v>
      </c>
      <c r="G346" s="6" t="s">
        <v>953</v>
      </c>
      <c r="H346" s="6" t="s">
        <v>760</v>
      </c>
      <c r="I346" s="8">
        <v>59.328000000000003</v>
      </c>
      <c r="J346" s="19">
        <f t="shared" si="13"/>
        <v>59.328000000000003</v>
      </c>
    </row>
    <row r="347" spans="1:10" ht="12" customHeight="1" x14ac:dyDescent="0.2">
      <c r="A347" s="85" t="s">
        <v>0</v>
      </c>
      <c r="B347" s="7">
        <v>21084</v>
      </c>
      <c r="C347" s="7"/>
      <c r="D347" s="6" t="s">
        <v>298</v>
      </c>
      <c r="E347" s="6" t="s">
        <v>42</v>
      </c>
      <c r="F347" s="7" t="s">
        <v>347</v>
      </c>
      <c r="G347" s="6" t="s">
        <v>953</v>
      </c>
      <c r="H347" s="6" t="s">
        <v>760</v>
      </c>
      <c r="I347" s="8">
        <v>55.583999999999996</v>
      </c>
      <c r="J347" s="19">
        <f t="shared" si="13"/>
        <v>55.583999999999996</v>
      </c>
    </row>
    <row r="348" spans="1:10" ht="12" customHeight="1" x14ac:dyDescent="0.2">
      <c r="A348" s="85" t="s">
        <v>0</v>
      </c>
      <c r="B348" s="7">
        <v>21085</v>
      </c>
      <c r="C348" s="7"/>
      <c r="D348" s="6" t="s">
        <v>299</v>
      </c>
      <c r="E348" s="6" t="s">
        <v>44</v>
      </c>
      <c r="F348" s="7" t="s">
        <v>347</v>
      </c>
      <c r="G348" s="6" t="s">
        <v>953</v>
      </c>
      <c r="H348" s="6" t="s">
        <v>760</v>
      </c>
      <c r="I348" s="8">
        <v>45.072000000000003</v>
      </c>
      <c r="J348" s="19">
        <f t="shared" si="13"/>
        <v>45.072000000000003</v>
      </c>
    </row>
    <row r="349" spans="1:10" ht="12" customHeight="1" x14ac:dyDescent="0.2">
      <c r="A349" s="85" t="s">
        <v>0</v>
      </c>
      <c r="B349" s="7">
        <v>21086</v>
      </c>
      <c r="C349" s="7"/>
      <c r="D349" s="6" t="s">
        <v>300</v>
      </c>
      <c r="E349" s="6" t="s">
        <v>46</v>
      </c>
      <c r="F349" s="7" t="s">
        <v>347</v>
      </c>
      <c r="G349" s="6" t="s">
        <v>953</v>
      </c>
      <c r="H349" s="6" t="s">
        <v>760</v>
      </c>
      <c r="I349" s="8">
        <v>35.308800000000005</v>
      </c>
      <c r="J349" s="19">
        <f t="shared" si="13"/>
        <v>35.308800000000005</v>
      </c>
    </row>
    <row r="350" spans="1:10" ht="12" customHeight="1" x14ac:dyDescent="0.2">
      <c r="A350" s="85" t="s">
        <v>0</v>
      </c>
      <c r="B350" s="7">
        <v>21087</v>
      </c>
      <c r="C350" s="7"/>
      <c r="D350" s="6" t="s">
        <v>301</v>
      </c>
      <c r="E350" s="6" t="s">
        <v>48</v>
      </c>
      <c r="F350" s="7" t="s">
        <v>347</v>
      </c>
      <c r="G350" s="6" t="s">
        <v>953</v>
      </c>
      <c r="H350" s="6" t="s">
        <v>760</v>
      </c>
      <c r="I350" s="8">
        <v>30.614400000000003</v>
      </c>
      <c r="J350" s="19">
        <f t="shared" si="13"/>
        <v>30.614400000000003</v>
      </c>
    </row>
    <row r="351" spans="1:10" ht="12" customHeight="1" thickBot="1" x14ac:dyDescent="0.25">
      <c r="A351" s="86" t="s">
        <v>0</v>
      </c>
      <c r="B351" s="20">
        <v>21088</v>
      </c>
      <c r="C351" s="20"/>
      <c r="D351" s="21" t="s">
        <v>302</v>
      </c>
      <c r="E351" s="21" t="s">
        <v>50</v>
      </c>
      <c r="F351" s="20" t="s">
        <v>347</v>
      </c>
      <c r="G351" s="21" t="s">
        <v>953</v>
      </c>
      <c r="H351" s="21" t="s">
        <v>760</v>
      </c>
      <c r="I351" s="8">
        <v>21.840000000000003</v>
      </c>
      <c r="J351" s="22">
        <f t="shared" si="13"/>
        <v>21.840000000000003</v>
      </c>
    </row>
    <row r="352" spans="1:10" ht="12" customHeight="1" x14ac:dyDescent="0.2">
      <c r="A352" s="107" t="s">
        <v>792</v>
      </c>
      <c r="B352" s="108"/>
      <c r="C352" s="108"/>
      <c r="D352" s="108"/>
      <c r="E352" s="108"/>
      <c r="F352" s="108"/>
      <c r="G352" s="108"/>
      <c r="H352" s="108"/>
      <c r="I352" s="108"/>
      <c r="J352" s="109"/>
    </row>
    <row r="353" spans="1:11" ht="12" customHeight="1" x14ac:dyDescent="0.2">
      <c r="A353" s="83" t="s">
        <v>0</v>
      </c>
      <c r="B353" s="4">
        <v>20219</v>
      </c>
      <c r="C353" s="4"/>
      <c r="D353" s="3" t="s">
        <v>375</v>
      </c>
      <c r="E353" s="3" t="s">
        <v>415</v>
      </c>
      <c r="F353" s="4" t="s">
        <v>346</v>
      </c>
      <c r="G353" s="3" t="s">
        <v>3</v>
      </c>
      <c r="H353" s="3" t="s">
        <v>773</v>
      </c>
      <c r="I353" s="5">
        <v>11</v>
      </c>
      <c r="J353" s="23">
        <f t="shared" ref="J353:J385" si="14">IF(I353="on request","on request",IF(F353="Box",I353*(100%-$C$3),IF(F353="License",I353*(100%-$C$4),IF(F353="Renewal",I353*(100%-$C$5),IF(F353="ESD",I353*(100%-$C$3),I353)))))</f>
        <v>11</v>
      </c>
    </row>
    <row r="354" spans="1:11" ht="12" customHeight="1" x14ac:dyDescent="0.2">
      <c r="A354" s="83" t="s">
        <v>0</v>
      </c>
      <c r="B354" s="4">
        <v>20229</v>
      </c>
      <c r="C354" s="4"/>
      <c r="D354" s="3" t="s">
        <v>376</v>
      </c>
      <c r="E354" s="3" t="s">
        <v>415</v>
      </c>
      <c r="F354" s="4" t="s">
        <v>346</v>
      </c>
      <c r="G354" s="3" t="s">
        <v>3</v>
      </c>
      <c r="H354" s="3" t="s">
        <v>774</v>
      </c>
      <c r="I354" s="5">
        <v>18</v>
      </c>
      <c r="J354" s="23">
        <f t="shared" si="14"/>
        <v>18</v>
      </c>
    </row>
    <row r="355" spans="1:11" ht="12" customHeight="1" x14ac:dyDescent="0.2">
      <c r="A355" s="83" t="s">
        <v>0</v>
      </c>
      <c r="B355" s="4">
        <v>20239</v>
      </c>
      <c r="C355" s="4"/>
      <c r="D355" s="3" t="s">
        <v>377</v>
      </c>
      <c r="E355" s="3" t="s">
        <v>415</v>
      </c>
      <c r="F355" s="4" t="s">
        <v>346</v>
      </c>
      <c r="G355" s="3" t="s">
        <v>3</v>
      </c>
      <c r="H355" s="3" t="s">
        <v>775</v>
      </c>
      <c r="I355" s="5">
        <v>25</v>
      </c>
      <c r="J355" s="23">
        <f t="shared" si="14"/>
        <v>25</v>
      </c>
    </row>
    <row r="356" spans="1:11" ht="12" customHeight="1" x14ac:dyDescent="0.2">
      <c r="A356" s="83" t="s">
        <v>0</v>
      </c>
      <c r="B356" s="4">
        <v>20319</v>
      </c>
      <c r="C356" s="4"/>
      <c r="D356" s="3" t="s">
        <v>381</v>
      </c>
      <c r="E356" s="3" t="s">
        <v>417</v>
      </c>
      <c r="F356" s="4" t="s">
        <v>346</v>
      </c>
      <c r="G356" s="3" t="s">
        <v>947</v>
      </c>
      <c r="H356" s="3" t="s">
        <v>773</v>
      </c>
      <c r="I356" s="5">
        <v>12</v>
      </c>
      <c r="J356" s="23">
        <f t="shared" si="14"/>
        <v>12</v>
      </c>
    </row>
    <row r="357" spans="1:11" ht="12" customHeight="1" x14ac:dyDescent="0.2">
      <c r="A357" s="83" t="s">
        <v>0</v>
      </c>
      <c r="B357" s="4">
        <v>20329</v>
      </c>
      <c r="C357" s="4"/>
      <c r="D357" s="3" t="s">
        <v>382</v>
      </c>
      <c r="E357" s="3" t="s">
        <v>417</v>
      </c>
      <c r="F357" s="4" t="s">
        <v>346</v>
      </c>
      <c r="G357" s="3" t="s">
        <v>947</v>
      </c>
      <c r="H357" s="3" t="s">
        <v>774</v>
      </c>
      <c r="I357" s="5">
        <v>20</v>
      </c>
      <c r="J357" s="23">
        <f t="shared" si="14"/>
        <v>20</v>
      </c>
    </row>
    <row r="358" spans="1:11" ht="12" customHeight="1" x14ac:dyDescent="0.2">
      <c r="A358" s="83" t="s">
        <v>0</v>
      </c>
      <c r="B358" s="4">
        <v>20339</v>
      </c>
      <c r="C358" s="4"/>
      <c r="D358" s="3" t="s">
        <v>383</v>
      </c>
      <c r="E358" s="3" t="s">
        <v>417</v>
      </c>
      <c r="F358" s="4" t="s">
        <v>346</v>
      </c>
      <c r="G358" s="3" t="s">
        <v>947</v>
      </c>
      <c r="H358" s="3" t="s">
        <v>775</v>
      </c>
      <c r="I358" s="5">
        <v>28</v>
      </c>
      <c r="J358" s="23">
        <f t="shared" si="14"/>
        <v>28</v>
      </c>
    </row>
    <row r="359" spans="1:11" ht="12" customHeight="1" x14ac:dyDescent="0.2">
      <c r="A359" s="83" t="s">
        <v>0</v>
      </c>
      <c r="B359" s="4">
        <v>20419</v>
      </c>
      <c r="C359" s="4"/>
      <c r="D359" s="3" t="s">
        <v>387</v>
      </c>
      <c r="E359" s="3" t="s">
        <v>415</v>
      </c>
      <c r="F359" s="4" t="s">
        <v>346</v>
      </c>
      <c r="G359" s="3" t="s">
        <v>109</v>
      </c>
      <c r="H359" s="3" t="s">
        <v>773</v>
      </c>
      <c r="I359" s="5">
        <v>12</v>
      </c>
      <c r="J359" s="23">
        <f t="shared" si="14"/>
        <v>12</v>
      </c>
    </row>
    <row r="360" spans="1:11" ht="12" customHeight="1" x14ac:dyDescent="0.2">
      <c r="A360" s="83" t="s">
        <v>0</v>
      </c>
      <c r="B360" s="4">
        <v>20429</v>
      </c>
      <c r="C360" s="4"/>
      <c r="D360" s="3" t="s">
        <v>388</v>
      </c>
      <c r="E360" s="3" t="s">
        <v>415</v>
      </c>
      <c r="F360" s="4" t="s">
        <v>346</v>
      </c>
      <c r="G360" s="3" t="s">
        <v>109</v>
      </c>
      <c r="H360" s="3" t="s">
        <v>774</v>
      </c>
      <c r="I360" s="5">
        <v>20</v>
      </c>
      <c r="J360" s="23">
        <f t="shared" si="14"/>
        <v>20</v>
      </c>
    </row>
    <row r="361" spans="1:11" ht="12" customHeight="1" x14ac:dyDescent="0.2">
      <c r="A361" s="83" t="s">
        <v>0</v>
      </c>
      <c r="B361" s="4">
        <v>20439</v>
      </c>
      <c r="C361" s="4"/>
      <c r="D361" s="3" t="s">
        <v>389</v>
      </c>
      <c r="E361" s="3" t="s">
        <v>415</v>
      </c>
      <c r="F361" s="4" t="s">
        <v>346</v>
      </c>
      <c r="G361" s="3" t="s">
        <v>109</v>
      </c>
      <c r="H361" s="3" t="s">
        <v>775</v>
      </c>
      <c r="I361" s="5">
        <v>28</v>
      </c>
      <c r="J361" s="23">
        <f t="shared" si="14"/>
        <v>28</v>
      </c>
    </row>
    <row r="362" spans="1:11" ht="12" customHeight="1" x14ac:dyDescent="0.2">
      <c r="A362" s="83" t="s">
        <v>0</v>
      </c>
      <c r="B362" s="4">
        <v>20519</v>
      </c>
      <c r="C362" s="4"/>
      <c r="D362" s="3" t="s">
        <v>393</v>
      </c>
      <c r="E362" s="3" t="s">
        <v>415</v>
      </c>
      <c r="F362" s="4" t="s">
        <v>346</v>
      </c>
      <c r="G362" s="3" t="s">
        <v>950</v>
      </c>
      <c r="H362" s="3" t="s">
        <v>773</v>
      </c>
      <c r="I362" s="5">
        <v>13</v>
      </c>
      <c r="J362" s="23">
        <f t="shared" si="14"/>
        <v>13</v>
      </c>
    </row>
    <row r="363" spans="1:11" ht="12" customHeight="1" x14ac:dyDescent="0.2">
      <c r="A363" s="83" t="s">
        <v>0</v>
      </c>
      <c r="B363" s="4">
        <v>20529</v>
      </c>
      <c r="C363" s="4"/>
      <c r="D363" s="3" t="s">
        <v>394</v>
      </c>
      <c r="E363" s="3" t="s">
        <v>415</v>
      </c>
      <c r="F363" s="4" t="s">
        <v>346</v>
      </c>
      <c r="G363" s="3" t="s">
        <v>950</v>
      </c>
      <c r="H363" s="3" t="s">
        <v>774</v>
      </c>
      <c r="I363" s="5">
        <v>22</v>
      </c>
      <c r="J363" s="23">
        <f t="shared" si="14"/>
        <v>22</v>
      </c>
    </row>
    <row r="364" spans="1:11" ht="12" customHeight="1" x14ac:dyDescent="0.2">
      <c r="A364" s="83" t="s">
        <v>0</v>
      </c>
      <c r="B364" s="4">
        <v>20539</v>
      </c>
      <c r="C364" s="4"/>
      <c r="D364" s="3" t="s">
        <v>395</v>
      </c>
      <c r="E364" s="3" t="s">
        <v>415</v>
      </c>
      <c r="F364" s="4" t="s">
        <v>346</v>
      </c>
      <c r="G364" s="3" t="s">
        <v>950</v>
      </c>
      <c r="H364" s="3" t="s">
        <v>775</v>
      </c>
      <c r="I364" s="5">
        <v>31</v>
      </c>
      <c r="J364" s="23">
        <f t="shared" si="14"/>
        <v>31</v>
      </c>
    </row>
    <row r="365" spans="1:11" ht="12" customHeight="1" x14ac:dyDescent="0.2">
      <c r="A365" s="83" t="s">
        <v>0</v>
      </c>
      <c r="B365" s="4">
        <v>20919</v>
      </c>
      <c r="C365" s="4"/>
      <c r="D365" s="3" t="s">
        <v>399</v>
      </c>
      <c r="E365" s="3" t="s">
        <v>415</v>
      </c>
      <c r="F365" s="4" t="s">
        <v>346</v>
      </c>
      <c r="G365" s="3" t="s">
        <v>206</v>
      </c>
      <c r="H365" s="3" t="s">
        <v>773</v>
      </c>
      <c r="I365" s="5">
        <v>13</v>
      </c>
      <c r="J365" s="23">
        <f t="shared" si="14"/>
        <v>13</v>
      </c>
    </row>
    <row r="366" spans="1:11" ht="12" customHeight="1" x14ac:dyDescent="0.2">
      <c r="A366" s="83" t="s">
        <v>0</v>
      </c>
      <c r="B366" s="4">
        <v>20929</v>
      </c>
      <c r="C366" s="4"/>
      <c r="D366" s="3" t="s">
        <v>400</v>
      </c>
      <c r="E366" s="3" t="s">
        <v>415</v>
      </c>
      <c r="F366" s="4" t="s">
        <v>346</v>
      </c>
      <c r="G366" s="3" t="s">
        <v>206</v>
      </c>
      <c r="H366" s="3" t="s">
        <v>774</v>
      </c>
      <c r="I366" s="5">
        <v>22</v>
      </c>
      <c r="J366" s="23">
        <f t="shared" si="14"/>
        <v>22</v>
      </c>
    </row>
    <row r="367" spans="1:11" ht="12" customHeight="1" x14ac:dyDescent="0.2">
      <c r="A367" s="83" t="s">
        <v>0</v>
      </c>
      <c r="B367" s="4">
        <v>20939</v>
      </c>
      <c r="C367" s="4"/>
      <c r="D367" s="3" t="s">
        <v>401</v>
      </c>
      <c r="E367" s="3" t="s">
        <v>415</v>
      </c>
      <c r="F367" s="4" t="s">
        <v>346</v>
      </c>
      <c r="G367" s="3" t="s">
        <v>206</v>
      </c>
      <c r="H367" s="3" t="s">
        <v>775</v>
      </c>
      <c r="I367" s="5">
        <v>31</v>
      </c>
      <c r="J367" s="23">
        <f t="shared" si="14"/>
        <v>31</v>
      </c>
    </row>
    <row r="368" spans="1:11" s="526" customFormat="1" ht="12" customHeight="1" x14ac:dyDescent="0.2">
      <c r="A368" s="545" t="s">
        <v>0</v>
      </c>
      <c r="B368" s="542">
        <v>21019</v>
      </c>
      <c r="C368" s="542"/>
      <c r="D368" s="541" t="s">
        <v>405</v>
      </c>
      <c r="E368" s="541" t="s">
        <v>415</v>
      </c>
      <c r="F368" s="542" t="s">
        <v>346</v>
      </c>
      <c r="G368" s="541" t="s">
        <v>953</v>
      </c>
      <c r="H368" s="541" t="s">
        <v>773</v>
      </c>
      <c r="I368" s="543">
        <v>14</v>
      </c>
      <c r="J368" s="544">
        <f t="shared" si="14"/>
        <v>14</v>
      </c>
      <c r="K368" s="546"/>
    </row>
    <row r="369" spans="1:11" s="526" customFormat="1" ht="12" customHeight="1" x14ac:dyDescent="0.2">
      <c r="A369" s="545" t="s">
        <v>0</v>
      </c>
      <c r="B369" s="542">
        <v>21029</v>
      </c>
      <c r="C369" s="542"/>
      <c r="D369" s="541" t="s">
        <v>406</v>
      </c>
      <c r="E369" s="541" t="s">
        <v>415</v>
      </c>
      <c r="F369" s="542" t="s">
        <v>346</v>
      </c>
      <c r="G369" s="541" t="s">
        <v>953</v>
      </c>
      <c r="H369" s="541" t="s">
        <v>774</v>
      </c>
      <c r="I369" s="543">
        <v>23</v>
      </c>
      <c r="J369" s="544">
        <f t="shared" si="14"/>
        <v>23</v>
      </c>
      <c r="K369" s="546"/>
    </row>
    <row r="370" spans="1:11" s="526" customFormat="1" ht="12" customHeight="1" x14ac:dyDescent="0.2">
      <c r="A370" s="545" t="s">
        <v>0</v>
      </c>
      <c r="B370" s="542">
        <v>21039</v>
      </c>
      <c r="C370" s="542"/>
      <c r="D370" s="541" t="s">
        <v>407</v>
      </c>
      <c r="E370" s="541" t="s">
        <v>415</v>
      </c>
      <c r="F370" s="542" t="s">
        <v>346</v>
      </c>
      <c r="G370" s="541" t="s">
        <v>953</v>
      </c>
      <c r="H370" s="541" t="s">
        <v>775</v>
      </c>
      <c r="I370" s="543">
        <v>34</v>
      </c>
      <c r="J370" s="544">
        <f t="shared" si="14"/>
        <v>34</v>
      </c>
      <c r="K370" s="546"/>
    </row>
    <row r="371" spans="1:11" s="486" customFormat="1" ht="12" customHeight="1" x14ac:dyDescent="0.2">
      <c r="A371" s="93" t="s">
        <v>0</v>
      </c>
      <c r="B371" s="48">
        <v>22119</v>
      </c>
      <c r="C371" s="48"/>
      <c r="D371" s="49" t="s">
        <v>686</v>
      </c>
      <c r="E371" s="49" t="s">
        <v>417</v>
      </c>
      <c r="F371" s="48" t="s">
        <v>346</v>
      </c>
      <c r="G371" s="49" t="s">
        <v>678</v>
      </c>
      <c r="H371" s="487" t="s">
        <v>752</v>
      </c>
      <c r="I371" s="50">
        <v>16</v>
      </c>
      <c r="J371" s="544">
        <f t="shared" si="14"/>
        <v>16</v>
      </c>
      <c r="K371" s="546"/>
    </row>
    <row r="372" spans="1:11" s="486" customFormat="1" ht="12" customHeight="1" x14ac:dyDescent="0.2">
      <c r="A372" s="93" t="s">
        <v>0</v>
      </c>
      <c r="B372" s="48">
        <v>22129</v>
      </c>
      <c r="C372" s="48"/>
      <c r="D372" s="49" t="s">
        <v>698</v>
      </c>
      <c r="E372" s="49" t="s">
        <v>417</v>
      </c>
      <c r="F372" s="48" t="s">
        <v>346</v>
      </c>
      <c r="G372" s="49" t="s">
        <v>678</v>
      </c>
      <c r="H372" s="487" t="s">
        <v>753</v>
      </c>
      <c r="I372" s="50">
        <v>32</v>
      </c>
      <c r="J372" s="493">
        <f t="shared" si="14"/>
        <v>32</v>
      </c>
      <c r="K372" s="546"/>
    </row>
    <row r="373" spans="1:11" s="486" customFormat="1" ht="12" customHeight="1" x14ac:dyDescent="0.2">
      <c r="A373" s="93" t="s">
        <v>0</v>
      </c>
      <c r="B373" s="48">
        <v>22139</v>
      </c>
      <c r="C373" s="48"/>
      <c r="D373" s="49" t="s">
        <v>707</v>
      </c>
      <c r="E373" s="49" t="s">
        <v>417</v>
      </c>
      <c r="F373" s="48" t="s">
        <v>346</v>
      </c>
      <c r="G373" s="49" t="s">
        <v>678</v>
      </c>
      <c r="H373" s="487" t="s">
        <v>755</v>
      </c>
      <c r="I373" s="50">
        <v>48</v>
      </c>
      <c r="J373" s="493">
        <f t="shared" si="14"/>
        <v>48</v>
      </c>
      <c r="K373" s="546"/>
    </row>
    <row r="374" spans="1:11" ht="12" customHeight="1" x14ac:dyDescent="0.2">
      <c r="A374" s="83" t="s">
        <v>0</v>
      </c>
      <c r="B374" s="4">
        <v>20619</v>
      </c>
      <c r="C374" s="4"/>
      <c r="D374" s="3" t="s">
        <v>448</v>
      </c>
      <c r="E374" s="3" t="s">
        <v>417</v>
      </c>
      <c r="F374" s="4" t="s">
        <v>346</v>
      </c>
      <c r="G374" s="3" t="s">
        <v>303</v>
      </c>
      <c r="H374" s="3" t="s">
        <v>776</v>
      </c>
      <c r="I374" s="5">
        <v>10</v>
      </c>
      <c r="J374" s="493">
        <f t="shared" si="14"/>
        <v>10</v>
      </c>
    </row>
    <row r="375" spans="1:11" ht="12" customHeight="1" x14ac:dyDescent="0.2">
      <c r="A375" s="83" t="s">
        <v>0</v>
      </c>
      <c r="B375" s="4">
        <v>20629</v>
      </c>
      <c r="C375" s="4"/>
      <c r="D375" s="3" t="s">
        <v>411</v>
      </c>
      <c r="E375" s="3" t="s">
        <v>415</v>
      </c>
      <c r="F375" s="4" t="s">
        <v>346</v>
      </c>
      <c r="G375" s="3" t="s">
        <v>303</v>
      </c>
      <c r="H375" s="3" t="s">
        <v>777</v>
      </c>
      <c r="I375" s="5">
        <v>16</v>
      </c>
      <c r="J375" s="23">
        <f t="shared" si="14"/>
        <v>16</v>
      </c>
    </row>
    <row r="376" spans="1:11" ht="12" customHeight="1" x14ac:dyDescent="0.2">
      <c r="A376" s="83" t="s">
        <v>0</v>
      </c>
      <c r="B376" s="4">
        <v>20639</v>
      </c>
      <c r="C376" s="4"/>
      <c r="D376" s="3" t="s">
        <v>411</v>
      </c>
      <c r="E376" s="3" t="s">
        <v>415</v>
      </c>
      <c r="F376" s="4" t="s">
        <v>346</v>
      </c>
      <c r="G376" s="3" t="s">
        <v>303</v>
      </c>
      <c r="H376" s="3" t="s">
        <v>778</v>
      </c>
      <c r="I376" s="5">
        <v>20</v>
      </c>
      <c r="J376" s="23">
        <f t="shared" si="14"/>
        <v>20</v>
      </c>
    </row>
    <row r="377" spans="1:11" ht="12" customHeight="1" x14ac:dyDescent="0.2">
      <c r="A377" s="93" t="s">
        <v>0</v>
      </c>
      <c r="B377" s="48">
        <v>20019</v>
      </c>
      <c r="C377" s="48"/>
      <c r="D377" s="49" t="s">
        <v>485</v>
      </c>
      <c r="E377" s="49" t="s">
        <v>417</v>
      </c>
      <c r="F377" s="48" t="s">
        <v>346</v>
      </c>
      <c r="G377" s="49" t="s">
        <v>348</v>
      </c>
      <c r="H377" s="49" t="s">
        <v>767</v>
      </c>
      <c r="I377" s="50">
        <v>10</v>
      </c>
      <c r="J377" s="120">
        <f t="shared" si="14"/>
        <v>10</v>
      </c>
    </row>
    <row r="378" spans="1:11" ht="12" customHeight="1" x14ac:dyDescent="0.2">
      <c r="A378" s="93" t="s">
        <v>0</v>
      </c>
      <c r="B378" s="48">
        <v>20029</v>
      </c>
      <c r="C378" s="48"/>
      <c r="D378" s="49" t="s">
        <v>486</v>
      </c>
      <c r="E378" s="49" t="s">
        <v>417</v>
      </c>
      <c r="F378" s="48" t="s">
        <v>346</v>
      </c>
      <c r="G378" s="49" t="s">
        <v>348</v>
      </c>
      <c r="H378" s="49" t="s">
        <v>768</v>
      </c>
      <c r="I378" s="50">
        <v>16</v>
      </c>
      <c r="J378" s="120">
        <f t="shared" si="14"/>
        <v>16</v>
      </c>
    </row>
    <row r="379" spans="1:11" ht="12" customHeight="1" x14ac:dyDescent="0.2">
      <c r="A379" s="93" t="s">
        <v>0</v>
      </c>
      <c r="B379" s="48">
        <v>20039</v>
      </c>
      <c r="C379" s="48"/>
      <c r="D379" s="49" t="s">
        <v>487</v>
      </c>
      <c r="E379" s="49" t="s">
        <v>417</v>
      </c>
      <c r="F379" s="48" t="s">
        <v>346</v>
      </c>
      <c r="G379" s="49" t="s">
        <v>348</v>
      </c>
      <c r="H379" s="49" t="s">
        <v>769</v>
      </c>
      <c r="I379" s="50">
        <v>20</v>
      </c>
      <c r="J379" s="120">
        <f t="shared" si="14"/>
        <v>20</v>
      </c>
    </row>
    <row r="380" spans="1:11" ht="12" customHeight="1" x14ac:dyDescent="0.2">
      <c r="A380" s="93" t="s">
        <v>0</v>
      </c>
      <c r="B380" s="48">
        <v>20119</v>
      </c>
      <c r="C380" s="48"/>
      <c r="D380" s="49" t="s">
        <v>488</v>
      </c>
      <c r="E380" s="49" t="s">
        <v>417</v>
      </c>
      <c r="F380" s="48" t="s">
        <v>346</v>
      </c>
      <c r="G380" s="49" t="s">
        <v>349</v>
      </c>
      <c r="H380" s="49" t="s">
        <v>767</v>
      </c>
      <c r="I380" s="50">
        <v>11</v>
      </c>
      <c r="J380" s="120">
        <f t="shared" si="14"/>
        <v>11</v>
      </c>
    </row>
    <row r="381" spans="1:11" ht="12" customHeight="1" x14ac:dyDescent="0.2">
      <c r="A381" s="93" t="s">
        <v>0</v>
      </c>
      <c r="B381" s="48">
        <v>20129</v>
      </c>
      <c r="C381" s="48"/>
      <c r="D381" s="49" t="s">
        <v>489</v>
      </c>
      <c r="E381" s="49" t="s">
        <v>417</v>
      </c>
      <c r="F381" s="48" t="s">
        <v>346</v>
      </c>
      <c r="G381" s="49" t="s">
        <v>349</v>
      </c>
      <c r="H381" s="49" t="s">
        <v>768</v>
      </c>
      <c r="I381" s="50">
        <v>18</v>
      </c>
      <c r="J381" s="120">
        <f t="shared" si="14"/>
        <v>18</v>
      </c>
    </row>
    <row r="382" spans="1:11" ht="12" customHeight="1" x14ac:dyDescent="0.2">
      <c r="A382" s="93" t="s">
        <v>0</v>
      </c>
      <c r="B382" s="48">
        <v>20139</v>
      </c>
      <c r="C382" s="48"/>
      <c r="D382" s="49" t="s">
        <v>490</v>
      </c>
      <c r="E382" s="49" t="s">
        <v>417</v>
      </c>
      <c r="F382" s="48" t="s">
        <v>346</v>
      </c>
      <c r="G382" s="49" t="s">
        <v>349</v>
      </c>
      <c r="H382" s="49" t="s">
        <v>769</v>
      </c>
      <c r="I382" s="50">
        <v>25</v>
      </c>
      <c r="J382" s="120">
        <f t="shared" si="14"/>
        <v>25</v>
      </c>
    </row>
    <row r="383" spans="1:11" ht="12" customHeight="1" x14ac:dyDescent="0.2">
      <c r="A383" s="93" t="s">
        <v>0</v>
      </c>
      <c r="B383" s="48">
        <v>21719</v>
      </c>
      <c r="C383" s="48"/>
      <c r="D383" s="49" t="s">
        <v>491</v>
      </c>
      <c r="E383" s="49" t="s">
        <v>417</v>
      </c>
      <c r="F383" s="48" t="s">
        <v>346</v>
      </c>
      <c r="G383" s="49" t="s">
        <v>350</v>
      </c>
      <c r="H383" s="49" t="s">
        <v>767</v>
      </c>
      <c r="I383" s="50">
        <v>12</v>
      </c>
      <c r="J383" s="120">
        <f t="shared" si="14"/>
        <v>12</v>
      </c>
    </row>
    <row r="384" spans="1:11" ht="12" customHeight="1" x14ac:dyDescent="0.2">
      <c r="A384" s="93" t="s">
        <v>0</v>
      </c>
      <c r="B384" s="48">
        <v>21729</v>
      </c>
      <c r="C384" s="48"/>
      <c r="D384" s="49" t="s">
        <v>492</v>
      </c>
      <c r="E384" s="49" t="s">
        <v>417</v>
      </c>
      <c r="F384" s="48" t="s">
        <v>346</v>
      </c>
      <c r="G384" s="49" t="s">
        <v>350</v>
      </c>
      <c r="H384" s="49" t="s">
        <v>768</v>
      </c>
      <c r="I384" s="50">
        <v>20</v>
      </c>
      <c r="J384" s="120">
        <f t="shared" si="14"/>
        <v>20</v>
      </c>
    </row>
    <row r="385" spans="1:10" ht="12" customHeight="1" thickBot="1" x14ac:dyDescent="0.25">
      <c r="A385" s="93" t="s">
        <v>0</v>
      </c>
      <c r="B385" s="48">
        <v>21739</v>
      </c>
      <c r="C385" s="48"/>
      <c r="D385" s="49" t="s">
        <v>493</v>
      </c>
      <c r="E385" s="49" t="s">
        <v>417</v>
      </c>
      <c r="F385" s="48" t="s">
        <v>346</v>
      </c>
      <c r="G385" s="49" t="s">
        <v>350</v>
      </c>
      <c r="H385" s="49" t="s">
        <v>769</v>
      </c>
      <c r="I385" s="50">
        <v>28</v>
      </c>
      <c r="J385" s="120">
        <f t="shared" si="14"/>
        <v>28</v>
      </c>
    </row>
    <row r="386" spans="1:10" ht="12" customHeight="1" x14ac:dyDescent="0.2">
      <c r="A386" s="101" t="s">
        <v>793</v>
      </c>
      <c r="B386" s="102"/>
      <c r="C386" s="102"/>
      <c r="D386" s="102"/>
      <c r="E386" s="102"/>
      <c r="F386" s="102"/>
      <c r="G386" s="102"/>
      <c r="H386" s="102"/>
      <c r="I386" s="102"/>
      <c r="J386" s="103"/>
    </row>
    <row r="387" spans="1:10" ht="12" customHeight="1" x14ac:dyDescent="0.2">
      <c r="A387" s="79" t="s">
        <v>0</v>
      </c>
      <c r="B387" s="7">
        <v>20269</v>
      </c>
      <c r="C387" s="7"/>
      <c r="D387" s="12" t="s">
        <v>378</v>
      </c>
      <c r="E387" s="6" t="s">
        <v>416</v>
      </c>
      <c r="F387" s="70" t="s">
        <v>347</v>
      </c>
      <c r="G387" s="6" t="s">
        <v>3</v>
      </c>
      <c r="H387" s="12" t="s">
        <v>779</v>
      </c>
      <c r="I387" s="58">
        <v>6</v>
      </c>
      <c r="J387" s="19">
        <f t="shared" ref="J387:J419" si="15">IF(I387="on request","on request",IF(F387="Box",I387*(100%-$C$3),IF(F387="License",I387*(100%-$C$4),IF(F387="Renewal",I387*(100%-$C$5),IF(F387="ESD",I387*(100%-$C$3),I387)))))</f>
        <v>6</v>
      </c>
    </row>
    <row r="388" spans="1:10" ht="12" customHeight="1" x14ac:dyDescent="0.2">
      <c r="A388" s="79" t="s">
        <v>0</v>
      </c>
      <c r="B388" s="7">
        <v>20279</v>
      </c>
      <c r="C388" s="7"/>
      <c r="D388" s="12" t="s">
        <v>379</v>
      </c>
      <c r="E388" s="6" t="s">
        <v>416</v>
      </c>
      <c r="F388" s="70" t="s">
        <v>347</v>
      </c>
      <c r="G388" s="6" t="s">
        <v>3</v>
      </c>
      <c r="H388" s="12" t="s">
        <v>780</v>
      </c>
      <c r="I388" s="58">
        <v>10.5</v>
      </c>
      <c r="J388" s="19">
        <f t="shared" si="15"/>
        <v>10.5</v>
      </c>
    </row>
    <row r="389" spans="1:10" ht="12" customHeight="1" x14ac:dyDescent="0.2">
      <c r="A389" s="79" t="s">
        <v>0</v>
      </c>
      <c r="B389" s="7">
        <v>20289</v>
      </c>
      <c r="C389" s="7"/>
      <c r="D389" s="12" t="s">
        <v>380</v>
      </c>
      <c r="E389" s="6" t="s">
        <v>416</v>
      </c>
      <c r="F389" s="70" t="s">
        <v>347</v>
      </c>
      <c r="G389" s="6" t="s">
        <v>3</v>
      </c>
      <c r="H389" s="12" t="s">
        <v>781</v>
      </c>
      <c r="I389" s="58">
        <v>15</v>
      </c>
      <c r="J389" s="19">
        <f t="shared" si="15"/>
        <v>15</v>
      </c>
    </row>
    <row r="390" spans="1:10" ht="12" customHeight="1" x14ac:dyDescent="0.2">
      <c r="A390" s="79" t="s">
        <v>0</v>
      </c>
      <c r="B390" s="7">
        <v>20369</v>
      </c>
      <c r="C390" s="7"/>
      <c r="D390" s="12" t="s">
        <v>384</v>
      </c>
      <c r="E390" s="6" t="s">
        <v>416</v>
      </c>
      <c r="F390" s="70" t="s">
        <v>347</v>
      </c>
      <c r="G390" s="6" t="s">
        <v>947</v>
      </c>
      <c r="H390" s="12" t="s">
        <v>779</v>
      </c>
      <c r="I390" s="58">
        <v>10</v>
      </c>
      <c r="J390" s="19">
        <f t="shared" si="15"/>
        <v>10</v>
      </c>
    </row>
    <row r="391" spans="1:10" ht="12" customHeight="1" x14ac:dyDescent="0.2">
      <c r="A391" s="79" t="s">
        <v>0</v>
      </c>
      <c r="B391" s="7">
        <v>20379</v>
      </c>
      <c r="C391" s="7"/>
      <c r="D391" s="12" t="s">
        <v>385</v>
      </c>
      <c r="E391" s="6" t="s">
        <v>416</v>
      </c>
      <c r="F391" s="70" t="s">
        <v>347</v>
      </c>
      <c r="G391" s="6" t="s">
        <v>947</v>
      </c>
      <c r="H391" s="12" t="s">
        <v>780</v>
      </c>
      <c r="I391" s="58">
        <v>17.5</v>
      </c>
      <c r="J391" s="19">
        <f t="shared" si="15"/>
        <v>17.5</v>
      </c>
    </row>
    <row r="392" spans="1:10" ht="12" customHeight="1" x14ac:dyDescent="0.2">
      <c r="A392" s="79" t="s">
        <v>0</v>
      </c>
      <c r="B392" s="7">
        <v>20389</v>
      </c>
      <c r="C392" s="7"/>
      <c r="D392" s="12" t="s">
        <v>386</v>
      </c>
      <c r="E392" s="6" t="s">
        <v>416</v>
      </c>
      <c r="F392" s="70" t="s">
        <v>347</v>
      </c>
      <c r="G392" s="6" t="s">
        <v>947</v>
      </c>
      <c r="H392" s="12" t="s">
        <v>781</v>
      </c>
      <c r="I392" s="58">
        <v>25</v>
      </c>
      <c r="J392" s="19">
        <f t="shared" si="15"/>
        <v>25</v>
      </c>
    </row>
    <row r="393" spans="1:10" ht="12" customHeight="1" x14ac:dyDescent="0.2">
      <c r="A393" s="79" t="s">
        <v>0</v>
      </c>
      <c r="B393" s="7">
        <v>20469</v>
      </c>
      <c r="C393" s="7"/>
      <c r="D393" s="12" t="s">
        <v>390</v>
      </c>
      <c r="E393" s="6" t="s">
        <v>416</v>
      </c>
      <c r="F393" s="70" t="s">
        <v>347</v>
      </c>
      <c r="G393" s="6" t="s">
        <v>109</v>
      </c>
      <c r="H393" s="12" t="s">
        <v>779</v>
      </c>
      <c r="I393" s="58">
        <v>10</v>
      </c>
      <c r="J393" s="19">
        <f t="shared" si="15"/>
        <v>10</v>
      </c>
    </row>
    <row r="394" spans="1:10" ht="12" customHeight="1" x14ac:dyDescent="0.2">
      <c r="A394" s="79" t="s">
        <v>0</v>
      </c>
      <c r="B394" s="7">
        <v>20479</v>
      </c>
      <c r="C394" s="7"/>
      <c r="D394" s="12" t="s">
        <v>391</v>
      </c>
      <c r="E394" s="6" t="s">
        <v>416</v>
      </c>
      <c r="F394" s="70" t="s">
        <v>347</v>
      </c>
      <c r="G394" s="6" t="s">
        <v>109</v>
      </c>
      <c r="H394" s="12" t="s">
        <v>780</v>
      </c>
      <c r="I394" s="58">
        <v>17.5</v>
      </c>
      <c r="J394" s="19">
        <f t="shared" si="15"/>
        <v>17.5</v>
      </c>
    </row>
    <row r="395" spans="1:10" ht="12" customHeight="1" x14ac:dyDescent="0.2">
      <c r="A395" s="79" t="s">
        <v>0</v>
      </c>
      <c r="B395" s="7">
        <v>20489</v>
      </c>
      <c r="C395" s="7"/>
      <c r="D395" s="12" t="s">
        <v>392</v>
      </c>
      <c r="E395" s="6" t="s">
        <v>416</v>
      </c>
      <c r="F395" s="70" t="s">
        <v>347</v>
      </c>
      <c r="G395" s="6" t="s">
        <v>109</v>
      </c>
      <c r="H395" s="12" t="s">
        <v>781</v>
      </c>
      <c r="I395" s="58">
        <v>25</v>
      </c>
      <c r="J395" s="19">
        <f t="shared" si="15"/>
        <v>25</v>
      </c>
    </row>
    <row r="396" spans="1:10" ht="12" customHeight="1" x14ac:dyDescent="0.2">
      <c r="A396" s="79" t="s">
        <v>0</v>
      </c>
      <c r="B396" s="7">
        <v>20569</v>
      </c>
      <c r="C396" s="7"/>
      <c r="D396" s="12" t="s">
        <v>396</v>
      </c>
      <c r="E396" s="6" t="s">
        <v>416</v>
      </c>
      <c r="F396" s="70" t="s">
        <v>347</v>
      </c>
      <c r="G396" s="6" t="s">
        <v>950</v>
      </c>
      <c r="H396" s="12" t="s">
        <v>779</v>
      </c>
      <c r="I396" s="58">
        <v>12</v>
      </c>
      <c r="J396" s="19">
        <f t="shared" si="15"/>
        <v>12</v>
      </c>
    </row>
    <row r="397" spans="1:10" ht="12" customHeight="1" x14ac:dyDescent="0.2">
      <c r="A397" s="79" t="s">
        <v>0</v>
      </c>
      <c r="B397" s="7">
        <v>20579</v>
      </c>
      <c r="C397" s="7"/>
      <c r="D397" s="12" t="s">
        <v>397</v>
      </c>
      <c r="E397" s="6" t="s">
        <v>416</v>
      </c>
      <c r="F397" s="70" t="s">
        <v>347</v>
      </c>
      <c r="G397" s="6" t="s">
        <v>950</v>
      </c>
      <c r="H397" s="12" t="s">
        <v>780</v>
      </c>
      <c r="I397" s="58">
        <v>21</v>
      </c>
      <c r="J397" s="19">
        <f t="shared" si="15"/>
        <v>21</v>
      </c>
    </row>
    <row r="398" spans="1:10" ht="12" customHeight="1" x14ac:dyDescent="0.2">
      <c r="A398" s="79" t="s">
        <v>0</v>
      </c>
      <c r="B398" s="7">
        <v>20589</v>
      </c>
      <c r="C398" s="7"/>
      <c r="D398" s="12" t="s">
        <v>398</v>
      </c>
      <c r="E398" s="6" t="s">
        <v>416</v>
      </c>
      <c r="F398" s="70" t="s">
        <v>347</v>
      </c>
      <c r="G398" s="6" t="s">
        <v>950</v>
      </c>
      <c r="H398" s="12" t="s">
        <v>781</v>
      </c>
      <c r="I398" s="58">
        <v>30</v>
      </c>
      <c r="J398" s="19">
        <f t="shared" si="15"/>
        <v>30</v>
      </c>
    </row>
    <row r="399" spans="1:10" ht="12" customHeight="1" x14ac:dyDescent="0.2">
      <c r="A399" s="79" t="s">
        <v>0</v>
      </c>
      <c r="B399" s="7">
        <v>20969</v>
      </c>
      <c r="C399" s="7"/>
      <c r="D399" s="12" t="s">
        <v>402</v>
      </c>
      <c r="E399" s="6" t="s">
        <v>416</v>
      </c>
      <c r="F399" s="70" t="s">
        <v>347</v>
      </c>
      <c r="G399" s="6" t="s">
        <v>206</v>
      </c>
      <c r="H399" s="12" t="s">
        <v>779</v>
      </c>
      <c r="I399" s="58">
        <v>12</v>
      </c>
      <c r="J399" s="19">
        <f t="shared" si="15"/>
        <v>12</v>
      </c>
    </row>
    <row r="400" spans="1:10" ht="12" customHeight="1" x14ac:dyDescent="0.2">
      <c r="A400" s="79" t="s">
        <v>0</v>
      </c>
      <c r="B400" s="7">
        <v>20979</v>
      </c>
      <c r="C400" s="7"/>
      <c r="D400" s="12" t="s">
        <v>403</v>
      </c>
      <c r="E400" s="6" t="s">
        <v>416</v>
      </c>
      <c r="F400" s="70" t="s">
        <v>347</v>
      </c>
      <c r="G400" s="6" t="s">
        <v>206</v>
      </c>
      <c r="H400" s="12" t="s">
        <v>780</v>
      </c>
      <c r="I400" s="58">
        <v>21</v>
      </c>
      <c r="J400" s="19">
        <f t="shared" si="15"/>
        <v>21</v>
      </c>
    </row>
    <row r="401" spans="1:11" ht="12" customHeight="1" x14ac:dyDescent="0.2">
      <c r="A401" s="79" t="s">
        <v>0</v>
      </c>
      <c r="B401" s="7">
        <v>20989</v>
      </c>
      <c r="C401" s="7"/>
      <c r="D401" s="12" t="s">
        <v>404</v>
      </c>
      <c r="E401" s="6" t="s">
        <v>416</v>
      </c>
      <c r="F401" s="70" t="s">
        <v>347</v>
      </c>
      <c r="G401" s="6" t="s">
        <v>206</v>
      </c>
      <c r="H401" s="12" t="s">
        <v>781</v>
      </c>
      <c r="I401" s="58">
        <v>30</v>
      </c>
      <c r="J401" s="19">
        <f t="shared" si="15"/>
        <v>30</v>
      </c>
    </row>
    <row r="402" spans="1:11" ht="12" customHeight="1" x14ac:dyDescent="0.2">
      <c r="A402" s="79" t="s">
        <v>0</v>
      </c>
      <c r="B402" s="7">
        <v>21069</v>
      </c>
      <c r="C402" s="7"/>
      <c r="D402" s="12" t="s">
        <v>408</v>
      </c>
      <c r="E402" s="6" t="s">
        <v>416</v>
      </c>
      <c r="F402" s="70" t="s">
        <v>347</v>
      </c>
      <c r="G402" s="6" t="s">
        <v>953</v>
      </c>
      <c r="H402" s="12" t="s">
        <v>779</v>
      </c>
      <c r="I402" s="58">
        <v>13</v>
      </c>
      <c r="J402" s="19">
        <f t="shared" si="15"/>
        <v>13</v>
      </c>
    </row>
    <row r="403" spans="1:11" ht="12" customHeight="1" x14ac:dyDescent="0.2">
      <c r="A403" s="79" t="s">
        <v>0</v>
      </c>
      <c r="B403" s="7">
        <v>21079</v>
      </c>
      <c r="C403" s="7"/>
      <c r="D403" s="12" t="s">
        <v>409</v>
      </c>
      <c r="E403" s="6" t="s">
        <v>416</v>
      </c>
      <c r="F403" s="70" t="s">
        <v>347</v>
      </c>
      <c r="G403" s="6" t="s">
        <v>953</v>
      </c>
      <c r="H403" s="12" t="s">
        <v>780</v>
      </c>
      <c r="I403" s="58">
        <v>22</v>
      </c>
      <c r="J403" s="19">
        <f t="shared" si="15"/>
        <v>22</v>
      </c>
    </row>
    <row r="404" spans="1:11" ht="12" customHeight="1" x14ac:dyDescent="0.2">
      <c r="A404" s="79" t="s">
        <v>0</v>
      </c>
      <c r="B404" s="7">
        <v>21089</v>
      </c>
      <c r="C404" s="7"/>
      <c r="D404" s="12" t="s">
        <v>410</v>
      </c>
      <c r="E404" s="6" t="s">
        <v>416</v>
      </c>
      <c r="F404" s="70" t="s">
        <v>347</v>
      </c>
      <c r="G404" s="6" t="s">
        <v>953</v>
      </c>
      <c r="H404" s="12" t="s">
        <v>781</v>
      </c>
      <c r="I404" s="58">
        <v>33</v>
      </c>
      <c r="J404" s="19">
        <f t="shared" si="15"/>
        <v>33</v>
      </c>
    </row>
    <row r="405" spans="1:11" s="486" customFormat="1" ht="12" customHeight="1" x14ac:dyDescent="0.2">
      <c r="A405" s="558" t="s">
        <v>0</v>
      </c>
      <c r="B405" s="551">
        <v>22169</v>
      </c>
      <c r="C405" s="551"/>
      <c r="D405" s="547" t="s">
        <v>688</v>
      </c>
      <c r="E405" s="552" t="s">
        <v>416</v>
      </c>
      <c r="F405" s="557" t="s">
        <v>346</v>
      </c>
      <c r="G405" s="552" t="s">
        <v>678</v>
      </c>
      <c r="H405" s="547" t="s">
        <v>758</v>
      </c>
      <c r="I405" s="555">
        <v>16</v>
      </c>
      <c r="J405" s="492">
        <f t="shared" si="15"/>
        <v>16</v>
      </c>
      <c r="K405" s="546"/>
    </row>
    <row r="406" spans="1:11" s="486" customFormat="1" ht="12" customHeight="1" x14ac:dyDescent="0.2">
      <c r="A406" s="558" t="s">
        <v>0</v>
      </c>
      <c r="B406" s="551">
        <v>22179</v>
      </c>
      <c r="C406" s="551"/>
      <c r="D406" s="547" t="s">
        <v>715</v>
      </c>
      <c r="E406" s="552" t="s">
        <v>416</v>
      </c>
      <c r="F406" s="557" t="s">
        <v>346</v>
      </c>
      <c r="G406" s="552" t="s">
        <v>678</v>
      </c>
      <c r="H406" s="547" t="s">
        <v>759</v>
      </c>
      <c r="I406" s="555">
        <v>32</v>
      </c>
      <c r="J406" s="492">
        <f t="shared" si="15"/>
        <v>32</v>
      </c>
      <c r="K406" s="546"/>
    </row>
    <row r="407" spans="1:11" s="486" customFormat="1" ht="12" customHeight="1" x14ac:dyDescent="0.2">
      <c r="A407" s="558" t="s">
        <v>0</v>
      </c>
      <c r="B407" s="551">
        <v>22189</v>
      </c>
      <c r="C407" s="551"/>
      <c r="D407" s="547" t="s">
        <v>717</v>
      </c>
      <c r="E407" s="552" t="s">
        <v>416</v>
      </c>
      <c r="F407" s="557" t="s">
        <v>346</v>
      </c>
      <c r="G407" s="552" t="s">
        <v>678</v>
      </c>
      <c r="H407" s="547" t="s">
        <v>760</v>
      </c>
      <c r="I407" s="555">
        <v>48</v>
      </c>
      <c r="J407" s="492">
        <f t="shared" si="15"/>
        <v>48</v>
      </c>
      <c r="K407" s="546"/>
    </row>
    <row r="408" spans="1:11" ht="12" customHeight="1" x14ac:dyDescent="0.2">
      <c r="A408" s="79" t="s">
        <v>0</v>
      </c>
      <c r="B408" s="7">
        <v>20669</v>
      </c>
      <c r="C408" s="7"/>
      <c r="D408" s="12" t="s">
        <v>412</v>
      </c>
      <c r="E408" s="6" t="s">
        <v>416</v>
      </c>
      <c r="F408" s="70" t="s">
        <v>347</v>
      </c>
      <c r="G408" s="6" t="s">
        <v>303</v>
      </c>
      <c r="H408" s="12" t="s">
        <v>935</v>
      </c>
      <c r="I408" s="500">
        <v>5</v>
      </c>
      <c r="J408" s="492">
        <f t="shared" si="15"/>
        <v>5</v>
      </c>
    </row>
    <row r="409" spans="1:11" ht="12" customHeight="1" x14ac:dyDescent="0.2">
      <c r="A409" s="79" t="s">
        <v>0</v>
      </c>
      <c r="B409" s="7">
        <v>20679</v>
      </c>
      <c r="C409" s="7"/>
      <c r="D409" s="12" t="s">
        <v>413</v>
      </c>
      <c r="E409" s="6" t="s">
        <v>416</v>
      </c>
      <c r="F409" s="70" t="s">
        <v>347</v>
      </c>
      <c r="G409" s="6" t="s">
        <v>303</v>
      </c>
      <c r="H409" s="12" t="s">
        <v>936</v>
      </c>
      <c r="I409" s="58">
        <v>8.75</v>
      </c>
      <c r="J409" s="19">
        <f t="shared" si="15"/>
        <v>8.75</v>
      </c>
    </row>
    <row r="410" spans="1:11" ht="12" customHeight="1" x14ac:dyDescent="0.2">
      <c r="A410" s="79" t="s">
        <v>0</v>
      </c>
      <c r="B410" s="7">
        <v>20689</v>
      </c>
      <c r="C410" s="7"/>
      <c r="D410" s="12" t="s">
        <v>414</v>
      </c>
      <c r="E410" s="6" t="s">
        <v>416</v>
      </c>
      <c r="F410" s="70" t="s">
        <v>347</v>
      </c>
      <c r="G410" s="6" t="s">
        <v>303</v>
      </c>
      <c r="H410" s="12" t="s">
        <v>937</v>
      </c>
      <c r="I410" s="58">
        <v>12.5</v>
      </c>
      <c r="J410" s="19">
        <f t="shared" si="15"/>
        <v>12.5</v>
      </c>
    </row>
    <row r="411" spans="1:11" ht="12" customHeight="1" x14ac:dyDescent="0.2">
      <c r="A411" s="94" t="s">
        <v>0</v>
      </c>
      <c r="B411" s="52">
        <v>20069</v>
      </c>
      <c r="C411" s="52"/>
      <c r="D411" s="12" t="s">
        <v>494</v>
      </c>
      <c r="E411" s="53" t="s">
        <v>416</v>
      </c>
      <c r="F411" s="70" t="s">
        <v>347</v>
      </c>
      <c r="G411" s="53" t="s">
        <v>348</v>
      </c>
      <c r="H411" s="12" t="s">
        <v>770</v>
      </c>
      <c r="I411" s="60">
        <v>5</v>
      </c>
      <c r="J411" s="51">
        <f t="shared" si="15"/>
        <v>5</v>
      </c>
    </row>
    <row r="412" spans="1:11" ht="12" customHeight="1" x14ac:dyDescent="0.2">
      <c r="A412" s="94" t="s">
        <v>0</v>
      </c>
      <c r="B412" s="52">
        <v>20079</v>
      </c>
      <c r="C412" s="52"/>
      <c r="D412" s="12" t="s">
        <v>495</v>
      </c>
      <c r="E412" s="53" t="s">
        <v>416</v>
      </c>
      <c r="F412" s="70" t="s">
        <v>347</v>
      </c>
      <c r="G412" s="53" t="s">
        <v>348</v>
      </c>
      <c r="H412" s="12" t="s">
        <v>771</v>
      </c>
      <c r="I412" s="60">
        <v>8.75</v>
      </c>
      <c r="J412" s="51">
        <f t="shared" si="15"/>
        <v>8.75</v>
      </c>
    </row>
    <row r="413" spans="1:11" ht="12" customHeight="1" x14ac:dyDescent="0.2">
      <c r="A413" s="94" t="s">
        <v>0</v>
      </c>
      <c r="B413" s="52">
        <v>20089</v>
      </c>
      <c r="C413" s="52"/>
      <c r="D413" s="12" t="s">
        <v>496</v>
      </c>
      <c r="E413" s="53" t="s">
        <v>416</v>
      </c>
      <c r="F413" s="70" t="s">
        <v>347</v>
      </c>
      <c r="G413" s="53" t="s">
        <v>348</v>
      </c>
      <c r="H413" s="12" t="s">
        <v>772</v>
      </c>
      <c r="I413" s="60">
        <v>12.5</v>
      </c>
      <c r="J413" s="51">
        <f t="shared" si="15"/>
        <v>12.5</v>
      </c>
    </row>
    <row r="414" spans="1:11" ht="12" customHeight="1" x14ac:dyDescent="0.2">
      <c r="A414" s="94" t="s">
        <v>0</v>
      </c>
      <c r="B414" s="52">
        <v>20169</v>
      </c>
      <c r="C414" s="52"/>
      <c r="D414" s="12" t="s">
        <v>497</v>
      </c>
      <c r="E414" s="53" t="s">
        <v>416</v>
      </c>
      <c r="F414" s="70" t="s">
        <v>347</v>
      </c>
      <c r="G414" s="53" t="s">
        <v>349</v>
      </c>
      <c r="H414" s="12" t="s">
        <v>770</v>
      </c>
      <c r="I414" s="60">
        <v>5</v>
      </c>
      <c r="J414" s="51">
        <f t="shared" si="15"/>
        <v>5</v>
      </c>
    </row>
    <row r="415" spans="1:11" ht="12" customHeight="1" x14ac:dyDescent="0.2">
      <c r="A415" s="94" t="s">
        <v>0</v>
      </c>
      <c r="B415" s="52">
        <v>20179</v>
      </c>
      <c r="C415" s="52"/>
      <c r="D415" s="12" t="s">
        <v>498</v>
      </c>
      <c r="E415" s="53" t="s">
        <v>416</v>
      </c>
      <c r="F415" s="70" t="s">
        <v>347</v>
      </c>
      <c r="G415" s="53" t="s">
        <v>349</v>
      </c>
      <c r="H415" s="12" t="s">
        <v>771</v>
      </c>
      <c r="I415" s="60">
        <v>8.75</v>
      </c>
      <c r="J415" s="51">
        <f t="shared" si="15"/>
        <v>8.75</v>
      </c>
    </row>
    <row r="416" spans="1:11" ht="12" customHeight="1" x14ac:dyDescent="0.2">
      <c r="A416" s="94" t="s">
        <v>0</v>
      </c>
      <c r="B416" s="52">
        <v>20189</v>
      </c>
      <c r="C416" s="52"/>
      <c r="D416" s="12" t="s">
        <v>499</v>
      </c>
      <c r="E416" s="53" t="s">
        <v>416</v>
      </c>
      <c r="F416" s="70" t="s">
        <v>347</v>
      </c>
      <c r="G416" s="53" t="s">
        <v>349</v>
      </c>
      <c r="H416" s="12" t="s">
        <v>772</v>
      </c>
      <c r="I416" s="60">
        <v>12.5</v>
      </c>
      <c r="J416" s="51">
        <f t="shared" si="15"/>
        <v>12.5</v>
      </c>
    </row>
    <row r="417" spans="1:10" ht="12" customHeight="1" x14ac:dyDescent="0.2">
      <c r="A417" s="94" t="s">
        <v>0</v>
      </c>
      <c r="B417" s="52">
        <v>21769</v>
      </c>
      <c r="C417" s="52"/>
      <c r="D417" s="12" t="s">
        <v>500</v>
      </c>
      <c r="E417" s="53" t="s">
        <v>416</v>
      </c>
      <c r="F417" s="70" t="s">
        <v>347</v>
      </c>
      <c r="G417" s="53" t="s">
        <v>350</v>
      </c>
      <c r="H417" s="12" t="s">
        <v>770</v>
      </c>
      <c r="I417" s="60">
        <v>5</v>
      </c>
      <c r="J417" s="51">
        <f t="shared" si="15"/>
        <v>5</v>
      </c>
    </row>
    <row r="418" spans="1:10" ht="12" customHeight="1" x14ac:dyDescent="0.2">
      <c r="A418" s="94" t="s">
        <v>0</v>
      </c>
      <c r="B418" s="52">
        <v>21779</v>
      </c>
      <c r="C418" s="52"/>
      <c r="D418" s="12" t="s">
        <v>501</v>
      </c>
      <c r="E418" s="53" t="s">
        <v>416</v>
      </c>
      <c r="F418" s="70" t="s">
        <v>347</v>
      </c>
      <c r="G418" s="53" t="s">
        <v>350</v>
      </c>
      <c r="H418" s="12" t="s">
        <v>771</v>
      </c>
      <c r="I418" s="60">
        <v>8.75</v>
      </c>
      <c r="J418" s="51">
        <f t="shared" si="15"/>
        <v>8.75</v>
      </c>
    </row>
    <row r="419" spans="1:10" ht="12" customHeight="1" thickBot="1" x14ac:dyDescent="0.25">
      <c r="A419" s="94" t="s">
        <v>0</v>
      </c>
      <c r="B419" s="52">
        <v>21789</v>
      </c>
      <c r="C419" s="52"/>
      <c r="D419" s="12" t="s">
        <v>502</v>
      </c>
      <c r="E419" s="53" t="s">
        <v>416</v>
      </c>
      <c r="F419" s="70" t="s">
        <v>347</v>
      </c>
      <c r="G419" s="53" t="s">
        <v>350</v>
      </c>
      <c r="H419" s="12" t="s">
        <v>772</v>
      </c>
      <c r="I419" s="60">
        <v>12.5</v>
      </c>
      <c r="J419" s="51">
        <f t="shared" si="15"/>
        <v>12.5</v>
      </c>
    </row>
    <row r="420" spans="1:10" ht="12" customHeight="1" x14ac:dyDescent="0.2">
      <c r="A420" s="107" t="s">
        <v>794</v>
      </c>
      <c r="B420" s="108"/>
      <c r="C420" s="108"/>
      <c r="D420" s="108"/>
      <c r="E420" s="108"/>
      <c r="F420" s="108"/>
      <c r="G420" s="108"/>
      <c r="H420" s="108"/>
      <c r="I420" s="108"/>
      <c r="J420" s="109"/>
    </row>
    <row r="421" spans="1:10" ht="12" customHeight="1" x14ac:dyDescent="0.2">
      <c r="A421" s="83" t="s">
        <v>0</v>
      </c>
      <c r="B421" s="4">
        <v>28601</v>
      </c>
      <c r="C421" s="4"/>
      <c r="D421" s="3" t="s">
        <v>418</v>
      </c>
      <c r="E421" s="3" t="s">
        <v>433</v>
      </c>
      <c r="F421" s="4" t="s">
        <v>346</v>
      </c>
      <c r="G421" s="3" t="s">
        <v>109</v>
      </c>
      <c r="H421" s="3" t="s">
        <v>434</v>
      </c>
      <c r="I421" s="5">
        <v>10.38</v>
      </c>
      <c r="J421" s="23">
        <f t="shared" ref="J421:J435" si="16">IF(I421="on request","on request",IF(F421="Box",I421*(100%-$C$3),IF(F421="License",I421*(100%-$C$4),IF(F421="Renewal",I421*(100%-$C$5),IF(F421="ESD",I421*(100%-$C$3),I421)))))</f>
        <v>10.38</v>
      </c>
    </row>
    <row r="422" spans="1:10" ht="12" customHeight="1" x14ac:dyDescent="0.2">
      <c r="A422" s="83" t="s">
        <v>0</v>
      </c>
      <c r="B422" s="4">
        <v>28602</v>
      </c>
      <c r="C422" s="4"/>
      <c r="D422" s="3" t="s">
        <v>419</v>
      </c>
      <c r="E422" s="3" t="s">
        <v>433</v>
      </c>
      <c r="F422" s="4" t="s">
        <v>346</v>
      </c>
      <c r="G422" s="3" t="s">
        <v>206</v>
      </c>
      <c r="H422" s="3" t="s">
        <v>435</v>
      </c>
      <c r="I422" s="5">
        <v>15.46</v>
      </c>
      <c r="J422" s="23">
        <f t="shared" si="16"/>
        <v>15.46</v>
      </c>
    </row>
    <row r="423" spans="1:10" ht="12" customHeight="1" x14ac:dyDescent="0.2">
      <c r="A423" s="83" t="s">
        <v>0</v>
      </c>
      <c r="B423" s="4">
        <v>28603</v>
      </c>
      <c r="C423" s="4"/>
      <c r="D423" s="3" t="s">
        <v>420</v>
      </c>
      <c r="E423" s="3" t="s">
        <v>433</v>
      </c>
      <c r="F423" s="4" t="s">
        <v>346</v>
      </c>
      <c r="G423" s="3" t="s">
        <v>3</v>
      </c>
      <c r="H423" s="3" t="s">
        <v>955</v>
      </c>
      <c r="I423" s="5">
        <v>13.62</v>
      </c>
      <c r="J423" s="23">
        <f t="shared" si="16"/>
        <v>13.62</v>
      </c>
    </row>
    <row r="424" spans="1:10" ht="12" customHeight="1" x14ac:dyDescent="0.2">
      <c r="A424" s="83" t="s">
        <v>0</v>
      </c>
      <c r="B424" s="4">
        <v>28604</v>
      </c>
      <c r="C424" s="4"/>
      <c r="D424" s="3" t="s">
        <v>421</v>
      </c>
      <c r="E424" s="3" t="s">
        <v>433</v>
      </c>
      <c r="F424" s="4" t="s">
        <v>346</v>
      </c>
      <c r="G424" s="3" t="s">
        <v>950</v>
      </c>
      <c r="H424" s="3" t="s">
        <v>956</v>
      </c>
      <c r="I424" s="5">
        <v>19.55</v>
      </c>
      <c r="J424" s="23">
        <f t="shared" si="16"/>
        <v>19.55</v>
      </c>
    </row>
    <row r="425" spans="1:10" ht="12" customHeight="1" x14ac:dyDescent="0.2">
      <c r="A425" s="83" t="s">
        <v>0</v>
      </c>
      <c r="B425" s="4">
        <v>28605</v>
      </c>
      <c r="C425" s="4"/>
      <c r="D425" s="3" t="s">
        <v>422</v>
      </c>
      <c r="E425" s="3" t="s">
        <v>433</v>
      </c>
      <c r="F425" s="4" t="s">
        <v>346</v>
      </c>
      <c r="G425" s="3" t="s">
        <v>953</v>
      </c>
      <c r="H425" s="3" t="s">
        <v>957</v>
      </c>
      <c r="I425" s="5">
        <v>24.8</v>
      </c>
      <c r="J425" s="23">
        <f t="shared" si="16"/>
        <v>24.8</v>
      </c>
    </row>
    <row r="426" spans="1:10" ht="12" customHeight="1" x14ac:dyDescent="0.2">
      <c r="A426" s="83" t="s">
        <v>0</v>
      </c>
      <c r="B426" s="4">
        <v>28606</v>
      </c>
      <c r="C426" s="4"/>
      <c r="D426" s="3" t="s">
        <v>423</v>
      </c>
      <c r="E426" s="3" t="s">
        <v>433</v>
      </c>
      <c r="F426" s="4" t="s">
        <v>346</v>
      </c>
      <c r="G426" s="3" t="s">
        <v>206</v>
      </c>
      <c r="H426" s="3" t="s">
        <v>436</v>
      </c>
      <c r="I426" s="5">
        <v>12.64</v>
      </c>
      <c r="J426" s="23">
        <f t="shared" si="16"/>
        <v>12.64</v>
      </c>
    </row>
    <row r="427" spans="1:10" ht="12" customHeight="1" x14ac:dyDescent="0.2">
      <c r="A427" s="83" t="s">
        <v>0</v>
      </c>
      <c r="B427" s="4">
        <v>28607</v>
      </c>
      <c r="C427" s="4"/>
      <c r="D427" s="3" t="s">
        <v>424</v>
      </c>
      <c r="E427" s="3" t="s">
        <v>433</v>
      </c>
      <c r="F427" s="4" t="s">
        <v>346</v>
      </c>
      <c r="G427" s="3" t="s">
        <v>950</v>
      </c>
      <c r="H427" s="3" t="s">
        <v>958</v>
      </c>
      <c r="I427" s="5">
        <v>13.62</v>
      </c>
      <c r="J427" s="23">
        <f t="shared" si="16"/>
        <v>13.62</v>
      </c>
    </row>
    <row r="428" spans="1:10" ht="12" customHeight="1" x14ac:dyDescent="0.2">
      <c r="A428" s="83" t="s">
        <v>0</v>
      </c>
      <c r="B428" s="4">
        <v>28608</v>
      </c>
      <c r="C428" s="4"/>
      <c r="D428" s="3" t="s">
        <v>425</v>
      </c>
      <c r="E428" s="3" t="s">
        <v>433</v>
      </c>
      <c r="F428" s="4" t="s">
        <v>346</v>
      </c>
      <c r="G428" s="3" t="s">
        <v>953</v>
      </c>
      <c r="H428" s="3" t="s">
        <v>959</v>
      </c>
      <c r="I428" s="5">
        <v>20.92</v>
      </c>
      <c r="J428" s="23">
        <f t="shared" si="16"/>
        <v>20.92</v>
      </c>
    </row>
    <row r="429" spans="1:10" ht="12" customHeight="1" x14ac:dyDescent="0.2">
      <c r="A429" s="83" t="s">
        <v>0</v>
      </c>
      <c r="B429" s="4">
        <v>28609</v>
      </c>
      <c r="C429" s="4"/>
      <c r="D429" s="3" t="s">
        <v>426</v>
      </c>
      <c r="E429" s="3" t="s">
        <v>433</v>
      </c>
      <c r="F429" s="4" t="s">
        <v>346</v>
      </c>
      <c r="G429" s="3" t="s">
        <v>953</v>
      </c>
      <c r="H429" s="3" t="s">
        <v>960</v>
      </c>
      <c r="I429" s="5">
        <v>13.62</v>
      </c>
      <c r="J429" s="23">
        <f t="shared" si="16"/>
        <v>13.62</v>
      </c>
    </row>
    <row r="430" spans="1:10" ht="12" customHeight="1" x14ac:dyDescent="0.2">
      <c r="A430" s="83" t="s">
        <v>0</v>
      </c>
      <c r="B430" s="4">
        <v>28610</v>
      </c>
      <c r="C430" s="4"/>
      <c r="D430" s="3" t="s">
        <v>427</v>
      </c>
      <c r="E430" s="3" t="s">
        <v>433</v>
      </c>
      <c r="F430" s="4" t="s">
        <v>346</v>
      </c>
      <c r="G430" s="3" t="s">
        <v>109</v>
      </c>
      <c r="H430" s="3" t="s">
        <v>437</v>
      </c>
      <c r="I430" s="5">
        <v>5.88</v>
      </c>
      <c r="J430" s="23">
        <f t="shared" si="16"/>
        <v>5.88</v>
      </c>
    </row>
    <row r="431" spans="1:10" ht="12" customHeight="1" x14ac:dyDescent="0.2">
      <c r="A431" s="83" t="s">
        <v>0</v>
      </c>
      <c r="B431" s="4">
        <v>28611</v>
      </c>
      <c r="C431" s="4"/>
      <c r="D431" s="3" t="s">
        <v>428</v>
      </c>
      <c r="E431" s="3" t="s">
        <v>433</v>
      </c>
      <c r="F431" s="4" t="s">
        <v>346</v>
      </c>
      <c r="G431" s="3" t="s">
        <v>950</v>
      </c>
      <c r="H431" s="3" t="s">
        <v>961</v>
      </c>
      <c r="I431" s="5">
        <v>10.38</v>
      </c>
      <c r="J431" s="23">
        <f t="shared" si="16"/>
        <v>10.38</v>
      </c>
    </row>
    <row r="432" spans="1:10" ht="12" customHeight="1" x14ac:dyDescent="0.2">
      <c r="A432" s="83" t="s">
        <v>0</v>
      </c>
      <c r="B432" s="4">
        <v>28612</v>
      </c>
      <c r="C432" s="4"/>
      <c r="D432" s="3" t="s">
        <v>429</v>
      </c>
      <c r="E432" s="3" t="s">
        <v>433</v>
      </c>
      <c r="F432" s="4" t="s">
        <v>346</v>
      </c>
      <c r="G432" s="3" t="s">
        <v>206</v>
      </c>
      <c r="H432" s="3" t="s">
        <v>438</v>
      </c>
      <c r="I432" s="5">
        <v>7.2</v>
      </c>
      <c r="J432" s="23">
        <f t="shared" si="16"/>
        <v>7.2</v>
      </c>
    </row>
    <row r="433" spans="1:11" ht="12" customHeight="1" x14ac:dyDescent="0.2">
      <c r="A433" s="83" t="s">
        <v>0</v>
      </c>
      <c r="B433" s="4">
        <v>28613</v>
      </c>
      <c r="C433" s="4"/>
      <c r="D433" s="3" t="s">
        <v>430</v>
      </c>
      <c r="E433" s="3" t="s">
        <v>433</v>
      </c>
      <c r="F433" s="4" t="s">
        <v>346</v>
      </c>
      <c r="G433" s="3" t="s">
        <v>953</v>
      </c>
      <c r="H433" s="3" t="s">
        <v>962</v>
      </c>
      <c r="I433" s="5">
        <v>16.079999999999998</v>
      </c>
      <c r="J433" s="23">
        <f t="shared" si="16"/>
        <v>16.079999999999998</v>
      </c>
    </row>
    <row r="434" spans="1:11" ht="12" customHeight="1" x14ac:dyDescent="0.2">
      <c r="A434" s="83" t="s">
        <v>0</v>
      </c>
      <c r="B434" s="4">
        <v>28614</v>
      </c>
      <c r="C434" s="4"/>
      <c r="D434" s="3" t="s">
        <v>431</v>
      </c>
      <c r="E434" s="3" t="s">
        <v>433</v>
      </c>
      <c r="F434" s="4" t="s">
        <v>346</v>
      </c>
      <c r="G434" s="3" t="s">
        <v>206</v>
      </c>
      <c r="H434" s="3" t="s">
        <v>439</v>
      </c>
      <c r="I434" s="5">
        <v>5.88</v>
      </c>
      <c r="J434" s="23">
        <f t="shared" si="16"/>
        <v>5.88</v>
      </c>
    </row>
    <row r="435" spans="1:11" ht="12" customHeight="1" thickBot="1" x14ac:dyDescent="0.25">
      <c r="A435" s="87" t="s">
        <v>0</v>
      </c>
      <c r="B435" s="17">
        <v>28615</v>
      </c>
      <c r="C435" s="17"/>
      <c r="D435" s="16" t="s">
        <v>432</v>
      </c>
      <c r="E435" s="16" t="s">
        <v>433</v>
      </c>
      <c r="F435" s="17" t="s">
        <v>346</v>
      </c>
      <c r="G435" s="16" t="s">
        <v>953</v>
      </c>
      <c r="H435" s="16" t="s">
        <v>963</v>
      </c>
      <c r="I435" s="18">
        <v>11.56</v>
      </c>
      <c r="J435" s="23">
        <f t="shared" si="16"/>
        <v>11.56</v>
      </c>
    </row>
    <row r="436" spans="1:11" ht="12" customHeight="1" x14ac:dyDescent="0.2">
      <c r="A436" s="101" t="s">
        <v>795</v>
      </c>
      <c r="B436" s="102"/>
      <c r="C436" s="102"/>
      <c r="D436" s="102"/>
      <c r="E436" s="102"/>
      <c r="F436" s="102"/>
      <c r="G436" s="102"/>
      <c r="H436" s="102"/>
      <c r="I436" s="102"/>
      <c r="J436" s="103"/>
    </row>
    <row r="437" spans="1:11" ht="12" customHeight="1" x14ac:dyDescent="0.2">
      <c r="A437" s="93" t="s">
        <v>0</v>
      </c>
      <c r="B437" s="48">
        <v>21211</v>
      </c>
      <c r="C437" s="48"/>
      <c r="D437" s="49" t="s">
        <v>512</v>
      </c>
      <c r="E437" s="49" t="s">
        <v>2</v>
      </c>
      <c r="F437" s="48" t="s">
        <v>346</v>
      </c>
      <c r="G437" s="49" t="s">
        <v>3</v>
      </c>
      <c r="H437" s="49" t="s">
        <v>757</v>
      </c>
      <c r="I437" s="5">
        <v>30.400000000000002</v>
      </c>
      <c r="J437" s="120">
        <f t="shared" ref="J437:J460" si="17">IF(I437="on request","on request",IF(F437="Box",I437*(100%-$C$3),IF(F437="License",I437*(100%-$C$4),IF(F437="Renewal",I437*(100%-$C$5),IF(F437="ESD",I437*(100%-$C$3),I437)))))</f>
        <v>30.400000000000002</v>
      </c>
      <c r="K437" s="550"/>
    </row>
    <row r="438" spans="1:11" ht="12" customHeight="1" x14ac:dyDescent="0.2">
      <c r="A438" s="93" t="s">
        <v>0</v>
      </c>
      <c r="B438" s="48">
        <v>21212</v>
      </c>
      <c r="C438" s="48"/>
      <c r="D438" s="49" t="s">
        <v>513</v>
      </c>
      <c r="E438" s="49" t="s">
        <v>5</v>
      </c>
      <c r="F438" s="48" t="s">
        <v>346</v>
      </c>
      <c r="G438" s="49" t="s">
        <v>3</v>
      </c>
      <c r="H438" s="49" t="s">
        <v>757</v>
      </c>
      <c r="I438" s="5">
        <v>20</v>
      </c>
      <c r="J438" s="120">
        <f t="shared" si="17"/>
        <v>20</v>
      </c>
      <c r="K438" s="550"/>
    </row>
    <row r="439" spans="1:11" ht="12" customHeight="1" x14ac:dyDescent="0.2">
      <c r="A439" s="93" t="s">
        <v>0</v>
      </c>
      <c r="B439" s="48">
        <v>21213</v>
      </c>
      <c r="C439" s="48"/>
      <c r="D439" s="49" t="s">
        <v>514</v>
      </c>
      <c r="E439" s="49" t="s">
        <v>7</v>
      </c>
      <c r="F439" s="48" t="s">
        <v>346</v>
      </c>
      <c r="G439" s="49" t="s">
        <v>3</v>
      </c>
      <c r="H439" s="49" t="s">
        <v>757</v>
      </c>
      <c r="I439" s="5">
        <v>15.200000000000001</v>
      </c>
      <c r="J439" s="120">
        <f t="shared" si="17"/>
        <v>15.200000000000001</v>
      </c>
      <c r="K439" s="550"/>
    </row>
    <row r="440" spans="1:11" ht="12" customHeight="1" x14ac:dyDescent="0.2">
      <c r="A440" s="93" t="s">
        <v>0</v>
      </c>
      <c r="B440" s="48">
        <v>21214</v>
      </c>
      <c r="C440" s="48"/>
      <c r="D440" s="49" t="s">
        <v>515</v>
      </c>
      <c r="E440" s="49" t="s">
        <v>9</v>
      </c>
      <c r="F440" s="48" t="s">
        <v>346</v>
      </c>
      <c r="G440" s="49" t="s">
        <v>3</v>
      </c>
      <c r="H440" s="49" t="s">
        <v>757</v>
      </c>
      <c r="I440" s="5">
        <v>13.600000000000001</v>
      </c>
      <c r="J440" s="120">
        <f t="shared" si="17"/>
        <v>13.600000000000001</v>
      </c>
      <c r="K440" s="550"/>
    </row>
    <row r="441" spans="1:11" ht="12" customHeight="1" x14ac:dyDescent="0.2">
      <c r="A441" s="93" t="s">
        <v>0</v>
      </c>
      <c r="B441" s="48">
        <v>21215</v>
      </c>
      <c r="C441" s="48"/>
      <c r="D441" s="49" t="s">
        <v>516</v>
      </c>
      <c r="E441" s="49" t="s">
        <v>11</v>
      </c>
      <c r="F441" s="48" t="s">
        <v>346</v>
      </c>
      <c r="G441" s="49" t="s">
        <v>3</v>
      </c>
      <c r="H441" s="49" t="s">
        <v>757</v>
      </c>
      <c r="I441" s="5">
        <v>11.200000000000001</v>
      </c>
      <c r="J441" s="120">
        <f t="shared" si="17"/>
        <v>11.200000000000001</v>
      </c>
      <c r="K441" s="550"/>
    </row>
    <row r="442" spans="1:11" ht="12" customHeight="1" x14ac:dyDescent="0.2">
      <c r="A442" s="93" t="s">
        <v>0</v>
      </c>
      <c r="B442" s="48">
        <v>21216</v>
      </c>
      <c r="C442" s="48"/>
      <c r="D442" s="49" t="s">
        <v>517</v>
      </c>
      <c r="E442" s="49" t="s">
        <v>440</v>
      </c>
      <c r="F442" s="48" t="s">
        <v>346</v>
      </c>
      <c r="G442" s="49" t="s">
        <v>3</v>
      </c>
      <c r="H442" s="49" t="s">
        <v>757</v>
      </c>
      <c r="I442" s="5">
        <v>9.6000000000000014</v>
      </c>
      <c r="J442" s="120">
        <f t="shared" si="17"/>
        <v>9.6000000000000014</v>
      </c>
      <c r="K442" s="550"/>
    </row>
    <row r="443" spans="1:11" ht="12" customHeight="1" x14ac:dyDescent="0.2">
      <c r="A443" s="93" t="s">
        <v>0</v>
      </c>
      <c r="B443" s="48">
        <v>21217</v>
      </c>
      <c r="C443" s="48"/>
      <c r="D443" s="49" t="s">
        <v>518</v>
      </c>
      <c r="E443" s="49" t="s">
        <v>15</v>
      </c>
      <c r="F443" s="48" t="s">
        <v>346</v>
      </c>
      <c r="G443" s="49" t="s">
        <v>3</v>
      </c>
      <c r="H443" s="49" t="s">
        <v>757</v>
      </c>
      <c r="I443" s="5">
        <v>8</v>
      </c>
      <c r="J443" s="120">
        <f t="shared" si="17"/>
        <v>8</v>
      </c>
      <c r="K443" s="550"/>
    </row>
    <row r="444" spans="1:11" ht="12" customHeight="1" x14ac:dyDescent="0.2">
      <c r="A444" s="93" t="s">
        <v>0</v>
      </c>
      <c r="B444" s="48">
        <v>21218</v>
      </c>
      <c r="C444" s="48"/>
      <c r="D444" s="49" t="s">
        <v>519</v>
      </c>
      <c r="E444" s="49" t="s">
        <v>17</v>
      </c>
      <c r="F444" s="48" t="s">
        <v>346</v>
      </c>
      <c r="G444" s="49" t="s">
        <v>3</v>
      </c>
      <c r="H444" s="49" t="s">
        <v>757</v>
      </c>
      <c r="I444" s="5">
        <v>7.2</v>
      </c>
      <c r="J444" s="120">
        <f t="shared" si="17"/>
        <v>7.2</v>
      </c>
      <c r="K444" s="550"/>
    </row>
    <row r="445" spans="1:11" ht="12" customHeight="1" x14ac:dyDescent="0.2">
      <c r="A445" s="93" t="s">
        <v>0</v>
      </c>
      <c r="B445" s="48">
        <v>21221</v>
      </c>
      <c r="C445" s="48"/>
      <c r="D445" s="49" t="s">
        <v>520</v>
      </c>
      <c r="E445" s="49" t="s">
        <v>2</v>
      </c>
      <c r="F445" s="48" t="s">
        <v>346</v>
      </c>
      <c r="G445" s="49" t="s">
        <v>3</v>
      </c>
      <c r="H445" s="49" t="s">
        <v>754</v>
      </c>
      <c r="I445" s="5">
        <v>47.400000000000006</v>
      </c>
      <c r="J445" s="120">
        <f t="shared" si="17"/>
        <v>47.400000000000006</v>
      </c>
      <c r="K445" s="550"/>
    </row>
    <row r="446" spans="1:11" ht="12" customHeight="1" x14ac:dyDescent="0.2">
      <c r="A446" s="93" t="s">
        <v>0</v>
      </c>
      <c r="B446" s="48">
        <v>21222</v>
      </c>
      <c r="C446" s="48"/>
      <c r="D446" s="49" t="s">
        <v>521</v>
      </c>
      <c r="E446" s="49" t="s">
        <v>5</v>
      </c>
      <c r="F446" s="48" t="s">
        <v>346</v>
      </c>
      <c r="G446" s="49" t="s">
        <v>3</v>
      </c>
      <c r="H446" s="49" t="s">
        <v>754</v>
      </c>
      <c r="I446" s="5">
        <v>36.660000000000004</v>
      </c>
      <c r="J446" s="120">
        <f t="shared" si="17"/>
        <v>36.660000000000004</v>
      </c>
      <c r="K446" s="550"/>
    </row>
    <row r="447" spans="1:11" ht="12" customHeight="1" x14ac:dyDescent="0.2">
      <c r="A447" s="93" t="s">
        <v>0</v>
      </c>
      <c r="B447" s="48">
        <v>21223</v>
      </c>
      <c r="C447" s="48"/>
      <c r="D447" s="49" t="s">
        <v>522</v>
      </c>
      <c r="E447" s="49" t="s">
        <v>7</v>
      </c>
      <c r="F447" s="48" t="s">
        <v>346</v>
      </c>
      <c r="G447" s="49" t="s">
        <v>3</v>
      </c>
      <c r="H447" s="49" t="s">
        <v>754</v>
      </c>
      <c r="I447" s="5">
        <v>29.208000000000006</v>
      </c>
      <c r="J447" s="120">
        <f t="shared" si="17"/>
        <v>29.208000000000006</v>
      </c>
      <c r="K447" s="550"/>
    </row>
    <row r="448" spans="1:11" ht="12" customHeight="1" x14ac:dyDescent="0.2">
      <c r="A448" s="93" t="s">
        <v>0</v>
      </c>
      <c r="B448" s="48">
        <v>21224</v>
      </c>
      <c r="C448" s="48"/>
      <c r="D448" s="49" t="s">
        <v>523</v>
      </c>
      <c r="E448" s="49" t="s">
        <v>9</v>
      </c>
      <c r="F448" s="48" t="s">
        <v>346</v>
      </c>
      <c r="G448" s="49" t="s">
        <v>3</v>
      </c>
      <c r="H448" s="49" t="s">
        <v>754</v>
      </c>
      <c r="I448" s="5">
        <v>26.724000000000004</v>
      </c>
      <c r="J448" s="120">
        <f t="shared" si="17"/>
        <v>26.724000000000004</v>
      </c>
      <c r="K448" s="550"/>
    </row>
    <row r="449" spans="1:11" ht="12" customHeight="1" x14ac:dyDescent="0.2">
      <c r="A449" s="93" t="s">
        <v>0</v>
      </c>
      <c r="B449" s="48">
        <v>21225</v>
      </c>
      <c r="C449" s="48"/>
      <c r="D449" s="49" t="s">
        <v>524</v>
      </c>
      <c r="E449" s="49" t="s">
        <v>11</v>
      </c>
      <c r="F449" s="48" t="s">
        <v>346</v>
      </c>
      <c r="G449" s="49" t="s">
        <v>3</v>
      </c>
      <c r="H449" s="49" t="s">
        <v>754</v>
      </c>
      <c r="I449" s="5">
        <v>21.842000000000002</v>
      </c>
      <c r="J449" s="120">
        <f t="shared" si="17"/>
        <v>21.842000000000002</v>
      </c>
      <c r="K449" s="550"/>
    </row>
    <row r="450" spans="1:11" ht="12" customHeight="1" x14ac:dyDescent="0.2">
      <c r="A450" s="93" t="s">
        <v>0</v>
      </c>
      <c r="B450" s="48">
        <v>21226</v>
      </c>
      <c r="C450" s="48"/>
      <c r="D450" s="49" t="s">
        <v>525</v>
      </c>
      <c r="E450" s="49" t="s">
        <v>440</v>
      </c>
      <c r="F450" s="48" t="s">
        <v>346</v>
      </c>
      <c r="G450" s="49" t="s">
        <v>3</v>
      </c>
      <c r="H450" s="49" t="s">
        <v>754</v>
      </c>
      <c r="I450" s="5">
        <v>17.936800000000002</v>
      </c>
      <c r="J450" s="120">
        <f t="shared" si="17"/>
        <v>17.936800000000002</v>
      </c>
      <c r="K450" s="550"/>
    </row>
    <row r="451" spans="1:11" ht="12" customHeight="1" x14ac:dyDescent="0.2">
      <c r="A451" s="93" t="s">
        <v>0</v>
      </c>
      <c r="B451" s="48">
        <v>21227</v>
      </c>
      <c r="C451" s="48"/>
      <c r="D451" s="49" t="s">
        <v>526</v>
      </c>
      <c r="E451" s="49" t="s">
        <v>15</v>
      </c>
      <c r="F451" s="48" t="s">
        <v>346</v>
      </c>
      <c r="G451" s="49" t="s">
        <v>3</v>
      </c>
      <c r="H451" s="49" t="s">
        <v>754</v>
      </c>
      <c r="I451" s="5">
        <v>15.228400000000001</v>
      </c>
      <c r="J451" s="120">
        <f t="shared" si="17"/>
        <v>15.228400000000001</v>
      </c>
      <c r="K451" s="550"/>
    </row>
    <row r="452" spans="1:11" ht="12" customHeight="1" x14ac:dyDescent="0.2">
      <c r="A452" s="93" t="s">
        <v>0</v>
      </c>
      <c r="B452" s="48">
        <v>21228</v>
      </c>
      <c r="C452" s="48"/>
      <c r="D452" s="49" t="s">
        <v>527</v>
      </c>
      <c r="E452" s="49" t="s">
        <v>17</v>
      </c>
      <c r="F452" s="48" t="s">
        <v>346</v>
      </c>
      <c r="G452" s="49" t="s">
        <v>3</v>
      </c>
      <c r="H452" s="49" t="s">
        <v>754</v>
      </c>
      <c r="I452" s="5">
        <v>13.388</v>
      </c>
      <c r="J452" s="120">
        <f t="shared" si="17"/>
        <v>13.388</v>
      </c>
      <c r="K452" s="550"/>
    </row>
    <row r="453" spans="1:11" ht="12" customHeight="1" x14ac:dyDescent="0.2">
      <c r="A453" s="93" t="s">
        <v>0</v>
      </c>
      <c r="B453" s="48">
        <v>21231</v>
      </c>
      <c r="C453" s="48"/>
      <c r="D453" s="49" t="s">
        <v>528</v>
      </c>
      <c r="E453" s="49" t="s">
        <v>2</v>
      </c>
      <c r="F453" s="48" t="s">
        <v>346</v>
      </c>
      <c r="G453" s="49" t="s">
        <v>3</v>
      </c>
      <c r="H453" s="49" t="s">
        <v>756</v>
      </c>
      <c r="I453" s="5">
        <v>60.150000000000006</v>
      </c>
      <c r="J453" s="120">
        <f t="shared" si="17"/>
        <v>60.150000000000006</v>
      </c>
      <c r="K453" s="550"/>
    </row>
    <row r="454" spans="1:11" ht="12" customHeight="1" x14ac:dyDescent="0.2">
      <c r="A454" s="93" t="s">
        <v>0</v>
      </c>
      <c r="B454" s="48">
        <v>21232</v>
      </c>
      <c r="C454" s="48"/>
      <c r="D454" s="49" t="s">
        <v>529</v>
      </c>
      <c r="E454" s="49" t="s">
        <v>5</v>
      </c>
      <c r="F454" s="48" t="s">
        <v>346</v>
      </c>
      <c r="G454" s="49" t="s">
        <v>3</v>
      </c>
      <c r="H454" s="49" t="s">
        <v>756</v>
      </c>
      <c r="I454" s="5">
        <v>49.155000000000001</v>
      </c>
      <c r="J454" s="120">
        <f t="shared" si="17"/>
        <v>49.155000000000001</v>
      </c>
      <c r="K454" s="550"/>
    </row>
    <row r="455" spans="1:11" ht="12" customHeight="1" x14ac:dyDescent="0.2">
      <c r="A455" s="93" t="s">
        <v>0</v>
      </c>
      <c r="B455" s="48">
        <v>21233</v>
      </c>
      <c r="C455" s="48"/>
      <c r="D455" s="49" t="s">
        <v>530</v>
      </c>
      <c r="E455" s="49" t="s">
        <v>7</v>
      </c>
      <c r="F455" s="48" t="s">
        <v>346</v>
      </c>
      <c r="G455" s="49" t="s">
        <v>3</v>
      </c>
      <c r="H455" s="49" t="s">
        <v>756</v>
      </c>
      <c r="I455" s="5">
        <v>39.713999999999999</v>
      </c>
      <c r="J455" s="120">
        <f t="shared" si="17"/>
        <v>39.713999999999999</v>
      </c>
      <c r="K455" s="550"/>
    </row>
    <row r="456" spans="1:11" ht="12" customHeight="1" x14ac:dyDescent="0.2">
      <c r="A456" s="93" t="s">
        <v>0</v>
      </c>
      <c r="B456" s="48">
        <v>21234</v>
      </c>
      <c r="C456" s="48"/>
      <c r="D456" s="49" t="s">
        <v>531</v>
      </c>
      <c r="E456" s="49" t="s">
        <v>9</v>
      </c>
      <c r="F456" s="48" t="s">
        <v>346</v>
      </c>
      <c r="G456" s="49" t="s">
        <v>3</v>
      </c>
      <c r="H456" s="49" t="s">
        <v>756</v>
      </c>
      <c r="I456" s="5">
        <v>36.567</v>
      </c>
      <c r="J456" s="120">
        <f t="shared" si="17"/>
        <v>36.567</v>
      </c>
      <c r="K456" s="550"/>
    </row>
    <row r="457" spans="1:11" ht="12" customHeight="1" x14ac:dyDescent="0.2">
      <c r="A457" s="93" t="s">
        <v>0</v>
      </c>
      <c r="B457" s="48">
        <v>21235</v>
      </c>
      <c r="C457" s="48"/>
      <c r="D457" s="49" t="s">
        <v>532</v>
      </c>
      <c r="E457" s="49" t="s">
        <v>11</v>
      </c>
      <c r="F457" s="48" t="s">
        <v>346</v>
      </c>
      <c r="G457" s="49" t="s">
        <v>3</v>
      </c>
      <c r="H457" s="49" t="s">
        <v>756</v>
      </c>
      <c r="I457" s="5">
        <v>29.823500000000003</v>
      </c>
      <c r="J457" s="120">
        <f t="shared" si="17"/>
        <v>29.823500000000003</v>
      </c>
      <c r="K457" s="550"/>
    </row>
    <row r="458" spans="1:11" ht="12" customHeight="1" x14ac:dyDescent="0.2">
      <c r="A458" s="93" t="s">
        <v>0</v>
      </c>
      <c r="B458" s="48">
        <v>21236</v>
      </c>
      <c r="C458" s="48"/>
      <c r="D458" s="49" t="s">
        <v>533</v>
      </c>
      <c r="E458" s="49" t="s">
        <v>440</v>
      </c>
      <c r="F458" s="48" t="s">
        <v>346</v>
      </c>
      <c r="G458" s="49" t="s">
        <v>3</v>
      </c>
      <c r="H458" s="49" t="s">
        <v>756</v>
      </c>
      <c r="I458" s="5">
        <v>24.189399999999999</v>
      </c>
      <c r="J458" s="120">
        <f t="shared" si="17"/>
        <v>24.189399999999999</v>
      </c>
      <c r="K458" s="550"/>
    </row>
    <row r="459" spans="1:11" ht="12" customHeight="1" x14ac:dyDescent="0.2">
      <c r="A459" s="93" t="s">
        <v>0</v>
      </c>
      <c r="B459" s="48">
        <v>21237</v>
      </c>
      <c r="C459" s="48"/>
      <c r="D459" s="49" t="s">
        <v>534</v>
      </c>
      <c r="E459" s="49" t="s">
        <v>15</v>
      </c>
      <c r="F459" s="48" t="s">
        <v>346</v>
      </c>
      <c r="G459" s="49" t="s">
        <v>3</v>
      </c>
      <c r="H459" s="49" t="s">
        <v>756</v>
      </c>
      <c r="I459" s="5">
        <v>20.649700000000003</v>
      </c>
      <c r="J459" s="120">
        <f t="shared" si="17"/>
        <v>20.649700000000003</v>
      </c>
      <c r="K459" s="550"/>
    </row>
    <row r="460" spans="1:11" ht="12" customHeight="1" thickBot="1" x14ac:dyDescent="0.25">
      <c r="A460" s="121" t="s">
        <v>0</v>
      </c>
      <c r="B460" s="122">
        <v>21238</v>
      </c>
      <c r="C460" s="122"/>
      <c r="D460" s="124" t="s">
        <v>535</v>
      </c>
      <c r="E460" s="124" t="s">
        <v>17</v>
      </c>
      <c r="F460" s="122" t="s">
        <v>346</v>
      </c>
      <c r="G460" s="124" t="s">
        <v>3</v>
      </c>
      <c r="H460" s="124" t="s">
        <v>756</v>
      </c>
      <c r="I460" s="5">
        <v>18.692</v>
      </c>
      <c r="J460" s="120">
        <f t="shared" si="17"/>
        <v>18.692</v>
      </c>
      <c r="K460" s="550"/>
    </row>
    <row r="461" spans="1:11" ht="12" customHeight="1" x14ac:dyDescent="0.2">
      <c r="A461" s="101" t="s">
        <v>964</v>
      </c>
      <c r="B461" s="102"/>
      <c r="C461" s="102"/>
      <c r="D461" s="102"/>
      <c r="E461" s="102"/>
      <c r="F461" s="102"/>
      <c r="G461" s="102"/>
      <c r="H461" s="102"/>
      <c r="I461" s="102"/>
      <c r="J461" s="103"/>
    </row>
    <row r="462" spans="1:11" ht="12" customHeight="1" x14ac:dyDescent="0.2">
      <c r="A462" s="93" t="s">
        <v>0</v>
      </c>
      <c r="B462" s="48">
        <v>21311</v>
      </c>
      <c r="C462" s="48"/>
      <c r="D462" s="49" t="s">
        <v>536</v>
      </c>
      <c r="E462" s="49" t="s">
        <v>2</v>
      </c>
      <c r="F462" s="48" t="s">
        <v>346</v>
      </c>
      <c r="G462" s="49" t="s">
        <v>947</v>
      </c>
      <c r="H462" s="49" t="s">
        <v>757</v>
      </c>
      <c r="I462" s="5">
        <v>36.480000000000004</v>
      </c>
      <c r="J462" s="120">
        <f t="shared" ref="J462:J485" si="18">IF(I462="on request","on request",IF(F462="Box",I462*(100%-$C$3),IF(F462="License",I462*(100%-$C$4),IF(F462="Renewal",I462*(100%-$C$5),IF(F462="ESD",I462*(100%-$C$3),I462)))))</f>
        <v>36.480000000000004</v>
      </c>
      <c r="K462" s="550"/>
    </row>
    <row r="463" spans="1:11" ht="12" customHeight="1" x14ac:dyDescent="0.2">
      <c r="A463" s="93" t="s">
        <v>0</v>
      </c>
      <c r="B463" s="48">
        <v>21312</v>
      </c>
      <c r="C463" s="48"/>
      <c r="D463" s="49" t="s">
        <v>537</v>
      </c>
      <c r="E463" s="49" t="s">
        <v>5</v>
      </c>
      <c r="F463" s="48" t="s">
        <v>346</v>
      </c>
      <c r="G463" s="49" t="s">
        <v>947</v>
      </c>
      <c r="H463" s="49" t="s">
        <v>757</v>
      </c>
      <c r="I463" s="5">
        <v>24</v>
      </c>
      <c r="J463" s="120">
        <f t="shared" si="18"/>
        <v>24</v>
      </c>
      <c r="K463" s="550"/>
    </row>
    <row r="464" spans="1:11" ht="12" customHeight="1" x14ac:dyDescent="0.2">
      <c r="A464" s="93" t="s">
        <v>0</v>
      </c>
      <c r="B464" s="48">
        <v>21313</v>
      </c>
      <c r="C464" s="48"/>
      <c r="D464" s="49" t="s">
        <v>538</v>
      </c>
      <c r="E464" s="49" t="s">
        <v>7</v>
      </c>
      <c r="F464" s="48" t="s">
        <v>346</v>
      </c>
      <c r="G464" s="49" t="s">
        <v>947</v>
      </c>
      <c r="H464" s="49" t="s">
        <v>757</v>
      </c>
      <c r="I464" s="5">
        <v>18.240000000000002</v>
      </c>
      <c r="J464" s="120">
        <f t="shared" si="18"/>
        <v>18.240000000000002</v>
      </c>
      <c r="K464" s="550"/>
    </row>
    <row r="465" spans="1:11" ht="12" customHeight="1" x14ac:dyDescent="0.2">
      <c r="A465" s="93" t="s">
        <v>0</v>
      </c>
      <c r="B465" s="48">
        <v>21314</v>
      </c>
      <c r="C465" s="48"/>
      <c r="D465" s="49" t="s">
        <v>539</v>
      </c>
      <c r="E465" s="49" t="s">
        <v>9</v>
      </c>
      <c r="F465" s="48" t="s">
        <v>346</v>
      </c>
      <c r="G465" s="49" t="s">
        <v>947</v>
      </c>
      <c r="H465" s="49" t="s">
        <v>757</v>
      </c>
      <c r="I465" s="5">
        <v>16.32</v>
      </c>
      <c r="J465" s="120">
        <f t="shared" si="18"/>
        <v>16.32</v>
      </c>
      <c r="K465" s="550"/>
    </row>
    <row r="466" spans="1:11" ht="12" customHeight="1" x14ac:dyDescent="0.2">
      <c r="A466" s="93" t="s">
        <v>0</v>
      </c>
      <c r="B466" s="48">
        <v>21315</v>
      </c>
      <c r="C466" s="48"/>
      <c r="D466" s="49" t="s">
        <v>540</v>
      </c>
      <c r="E466" s="49" t="s">
        <v>11</v>
      </c>
      <c r="F466" s="48" t="s">
        <v>346</v>
      </c>
      <c r="G466" s="49" t="s">
        <v>947</v>
      </c>
      <c r="H466" s="49" t="s">
        <v>757</v>
      </c>
      <c r="I466" s="5">
        <v>13.440000000000001</v>
      </c>
      <c r="J466" s="120">
        <f t="shared" si="18"/>
        <v>13.440000000000001</v>
      </c>
      <c r="K466" s="550"/>
    </row>
    <row r="467" spans="1:11" ht="12" customHeight="1" x14ac:dyDescent="0.2">
      <c r="A467" s="93" t="s">
        <v>0</v>
      </c>
      <c r="B467" s="48">
        <v>21316</v>
      </c>
      <c r="C467" s="48"/>
      <c r="D467" s="49" t="s">
        <v>541</v>
      </c>
      <c r="E467" s="49" t="s">
        <v>440</v>
      </c>
      <c r="F467" s="48" t="s">
        <v>346</v>
      </c>
      <c r="G467" s="49" t="s">
        <v>947</v>
      </c>
      <c r="H467" s="49" t="s">
        <v>757</v>
      </c>
      <c r="I467" s="5">
        <v>11.52</v>
      </c>
      <c r="J467" s="120">
        <f t="shared" si="18"/>
        <v>11.52</v>
      </c>
      <c r="K467" s="550"/>
    </row>
    <row r="468" spans="1:11" ht="12" customHeight="1" x14ac:dyDescent="0.2">
      <c r="A468" s="93" t="s">
        <v>0</v>
      </c>
      <c r="B468" s="48">
        <v>21317</v>
      </c>
      <c r="C468" s="48"/>
      <c r="D468" s="49" t="s">
        <v>542</v>
      </c>
      <c r="E468" s="49" t="s">
        <v>15</v>
      </c>
      <c r="F468" s="48" t="s">
        <v>346</v>
      </c>
      <c r="G468" s="49" t="s">
        <v>947</v>
      </c>
      <c r="H468" s="49" t="s">
        <v>757</v>
      </c>
      <c r="I468" s="5">
        <v>9.6000000000000014</v>
      </c>
      <c r="J468" s="120">
        <f t="shared" si="18"/>
        <v>9.6000000000000014</v>
      </c>
      <c r="K468" s="550"/>
    </row>
    <row r="469" spans="1:11" ht="12" customHeight="1" x14ac:dyDescent="0.2">
      <c r="A469" s="93" t="s">
        <v>0</v>
      </c>
      <c r="B469" s="48">
        <v>21318</v>
      </c>
      <c r="C469" s="48"/>
      <c r="D469" s="49" t="s">
        <v>543</v>
      </c>
      <c r="E469" s="49" t="s">
        <v>17</v>
      </c>
      <c r="F469" s="48" t="s">
        <v>346</v>
      </c>
      <c r="G469" s="49" t="s">
        <v>947</v>
      </c>
      <c r="H469" s="49" t="s">
        <v>757</v>
      </c>
      <c r="I469" s="5">
        <v>8.6399999999999988</v>
      </c>
      <c r="J469" s="120">
        <f t="shared" si="18"/>
        <v>8.6399999999999988</v>
      </c>
      <c r="K469" s="550"/>
    </row>
    <row r="470" spans="1:11" ht="12" customHeight="1" x14ac:dyDescent="0.2">
      <c r="A470" s="93" t="s">
        <v>0</v>
      </c>
      <c r="B470" s="48">
        <v>21321</v>
      </c>
      <c r="C470" s="48"/>
      <c r="D470" s="49" t="s">
        <v>544</v>
      </c>
      <c r="E470" s="49" t="s">
        <v>2</v>
      </c>
      <c r="F470" s="48" t="s">
        <v>346</v>
      </c>
      <c r="G470" s="49" t="s">
        <v>947</v>
      </c>
      <c r="H470" s="49" t="s">
        <v>754</v>
      </c>
      <c r="I470" s="5">
        <v>56.879999999999995</v>
      </c>
      <c r="J470" s="120">
        <f t="shared" si="18"/>
        <v>56.879999999999995</v>
      </c>
      <c r="K470" s="550"/>
    </row>
    <row r="471" spans="1:11" ht="12" customHeight="1" x14ac:dyDescent="0.2">
      <c r="A471" s="93" t="s">
        <v>0</v>
      </c>
      <c r="B471" s="48">
        <v>21322</v>
      </c>
      <c r="C471" s="48"/>
      <c r="D471" s="49" t="s">
        <v>545</v>
      </c>
      <c r="E471" s="49" t="s">
        <v>5</v>
      </c>
      <c r="F471" s="48" t="s">
        <v>346</v>
      </c>
      <c r="G471" s="49" t="s">
        <v>947</v>
      </c>
      <c r="H471" s="49" t="s">
        <v>754</v>
      </c>
      <c r="I471" s="5">
        <v>43.992000000000004</v>
      </c>
      <c r="J471" s="120">
        <f t="shared" si="18"/>
        <v>43.992000000000004</v>
      </c>
      <c r="K471" s="550"/>
    </row>
    <row r="472" spans="1:11" ht="12" customHeight="1" x14ac:dyDescent="0.2">
      <c r="A472" s="93" t="s">
        <v>0</v>
      </c>
      <c r="B472" s="48">
        <v>21323</v>
      </c>
      <c r="C472" s="48"/>
      <c r="D472" s="49" t="s">
        <v>546</v>
      </c>
      <c r="E472" s="49" t="s">
        <v>7</v>
      </c>
      <c r="F472" s="48" t="s">
        <v>346</v>
      </c>
      <c r="G472" s="49" t="s">
        <v>947</v>
      </c>
      <c r="H472" s="49" t="s">
        <v>754</v>
      </c>
      <c r="I472" s="5">
        <v>35.049600000000005</v>
      </c>
      <c r="J472" s="120">
        <f t="shared" si="18"/>
        <v>35.049600000000005</v>
      </c>
      <c r="K472" s="550"/>
    </row>
    <row r="473" spans="1:11" ht="12" customHeight="1" x14ac:dyDescent="0.2">
      <c r="A473" s="93" t="s">
        <v>0</v>
      </c>
      <c r="B473" s="48">
        <v>21324</v>
      </c>
      <c r="C473" s="48"/>
      <c r="D473" s="49" t="s">
        <v>547</v>
      </c>
      <c r="E473" s="49" t="s">
        <v>9</v>
      </c>
      <c r="F473" s="48" t="s">
        <v>346</v>
      </c>
      <c r="G473" s="49" t="s">
        <v>947</v>
      </c>
      <c r="H473" s="49" t="s">
        <v>754</v>
      </c>
      <c r="I473" s="5">
        <v>32.068800000000003</v>
      </c>
      <c r="J473" s="120">
        <f t="shared" si="18"/>
        <v>32.068800000000003</v>
      </c>
      <c r="K473" s="550"/>
    </row>
    <row r="474" spans="1:11" ht="12" customHeight="1" x14ac:dyDescent="0.2">
      <c r="A474" s="93" t="s">
        <v>0</v>
      </c>
      <c r="B474" s="48">
        <v>21325</v>
      </c>
      <c r="C474" s="48"/>
      <c r="D474" s="49" t="s">
        <v>548</v>
      </c>
      <c r="E474" s="49" t="s">
        <v>11</v>
      </c>
      <c r="F474" s="48" t="s">
        <v>346</v>
      </c>
      <c r="G474" s="49" t="s">
        <v>947</v>
      </c>
      <c r="H474" s="49" t="s">
        <v>754</v>
      </c>
      <c r="I474" s="5">
        <v>26.2104</v>
      </c>
      <c r="J474" s="120">
        <f t="shared" si="18"/>
        <v>26.2104</v>
      </c>
      <c r="K474" s="550"/>
    </row>
    <row r="475" spans="1:11" ht="12" customHeight="1" x14ac:dyDescent="0.2">
      <c r="A475" s="93" t="s">
        <v>0</v>
      </c>
      <c r="B475" s="48">
        <v>21326</v>
      </c>
      <c r="C475" s="48"/>
      <c r="D475" s="49" t="s">
        <v>549</v>
      </c>
      <c r="E475" s="49" t="s">
        <v>440</v>
      </c>
      <c r="F475" s="48" t="s">
        <v>346</v>
      </c>
      <c r="G475" s="49" t="s">
        <v>947</v>
      </c>
      <c r="H475" s="49" t="s">
        <v>754</v>
      </c>
      <c r="I475" s="5">
        <v>21.524159999999998</v>
      </c>
      <c r="J475" s="120">
        <f t="shared" si="18"/>
        <v>21.524159999999998</v>
      </c>
      <c r="K475" s="550"/>
    </row>
    <row r="476" spans="1:11" ht="12" customHeight="1" x14ac:dyDescent="0.2">
      <c r="A476" s="93" t="s">
        <v>0</v>
      </c>
      <c r="B476" s="48">
        <v>21327</v>
      </c>
      <c r="C476" s="48"/>
      <c r="D476" s="49" t="s">
        <v>550</v>
      </c>
      <c r="E476" s="49" t="s">
        <v>15</v>
      </c>
      <c r="F476" s="48" t="s">
        <v>346</v>
      </c>
      <c r="G476" s="49" t="s">
        <v>947</v>
      </c>
      <c r="H476" s="49" t="s">
        <v>754</v>
      </c>
      <c r="I476" s="5">
        <v>18.274079999999998</v>
      </c>
      <c r="J476" s="120">
        <f t="shared" si="18"/>
        <v>18.274079999999998</v>
      </c>
      <c r="K476" s="550"/>
    </row>
    <row r="477" spans="1:11" ht="12" customHeight="1" x14ac:dyDescent="0.2">
      <c r="A477" s="93" t="s">
        <v>0</v>
      </c>
      <c r="B477" s="48">
        <v>21328</v>
      </c>
      <c r="C477" s="48"/>
      <c r="D477" s="49" t="s">
        <v>551</v>
      </c>
      <c r="E477" s="49" t="s">
        <v>17</v>
      </c>
      <c r="F477" s="48" t="s">
        <v>346</v>
      </c>
      <c r="G477" s="49" t="s">
        <v>947</v>
      </c>
      <c r="H477" s="49" t="s">
        <v>754</v>
      </c>
      <c r="I477" s="5">
        <v>16.0656</v>
      </c>
      <c r="J477" s="120">
        <f t="shared" si="18"/>
        <v>16.0656</v>
      </c>
      <c r="K477" s="550"/>
    </row>
    <row r="478" spans="1:11" ht="12" customHeight="1" x14ac:dyDescent="0.2">
      <c r="A478" s="93" t="s">
        <v>0</v>
      </c>
      <c r="B478" s="48">
        <v>21331</v>
      </c>
      <c r="C478" s="48"/>
      <c r="D478" s="49" t="s">
        <v>552</v>
      </c>
      <c r="E478" s="49" t="s">
        <v>2</v>
      </c>
      <c r="F478" s="48" t="s">
        <v>346</v>
      </c>
      <c r="G478" s="49" t="s">
        <v>947</v>
      </c>
      <c r="H478" s="49" t="s">
        <v>756</v>
      </c>
      <c r="I478" s="5">
        <v>72.179999999999993</v>
      </c>
      <c r="J478" s="120">
        <f t="shared" si="18"/>
        <v>72.179999999999993</v>
      </c>
      <c r="K478" s="550"/>
    </row>
    <row r="479" spans="1:11" ht="12" customHeight="1" x14ac:dyDescent="0.2">
      <c r="A479" s="93" t="s">
        <v>0</v>
      </c>
      <c r="B479" s="48">
        <v>21332</v>
      </c>
      <c r="C479" s="48"/>
      <c r="D479" s="49" t="s">
        <v>553</v>
      </c>
      <c r="E479" s="49" t="s">
        <v>5</v>
      </c>
      <c r="F479" s="48" t="s">
        <v>346</v>
      </c>
      <c r="G479" s="49" t="s">
        <v>947</v>
      </c>
      <c r="H479" s="49" t="s">
        <v>756</v>
      </c>
      <c r="I479" s="5">
        <v>58.986000000000004</v>
      </c>
      <c r="J479" s="120">
        <f t="shared" si="18"/>
        <v>58.986000000000004</v>
      </c>
      <c r="K479" s="550"/>
    </row>
    <row r="480" spans="1:11" ht="12" customHeight="1" x14ac:dyDescent="0.2">
      <c r="A480" s="93" t="s">
        <v>0</v>
      </c>
      <c r="B480" s="48">
        <v>21333</v>
      </c>
      <c r="C480" s="48"/>
      <c r="D480" s="49" t="s">
        <v>554</v>
      </c>
      <c r="E480" s="49" t="s">
        <v>7</v>
      </c>
      <c r="F480" s="48" t="s">
        <v>346</v>
      </c>
      <c r="G480" s="49" t="s">
        <v>947</v>
      </c>
      <c r="H480" s="49" t="s">
        <v>756</v>
      </c>
      <c r="I480" s="5">
        <v>47.656800000000004</v>
      </c>
      <c r="J480" s="120">
        <f t="shared" si="18"/>
        <v>47.656800000000004</v>
      </c>
      <c r="K480" s="550"/>
    </row>
    <row r="481" spans="1:11" ht="12" customHeight="1" x14ac:dyDescent="0.2">
      <c r="A481" s="93" t="s">
        <v>0</v>
      </c>
      <c r="B481" s="48">
        <v>21334</v>
      </c>
      <c r="C481" s="48"/>
      <c r="D481" s="49" t="s">
        <v>555</v>
      </c>
      <c r="E481" s="49" t="s">
        <v>9</v>
      </c>
      <c r="F481" s="48" t="s">
        <v>346</v>
      </c>
      <c r="G481" s="49" t="s">
        <v>947</v>
      </c>
      <c r="H481" s="49" t="s">
        <v>756</v>
      </c>
      <c r="I481" s="5">
        <v>43.880399999999995</v>
      </c>
      <c r="J481" s="120">
        <f t="shared" si="18"/>
        <v>43.880399999999995</v>
      </c>
      <c r="K481" s="550"/>
    </row>
    <row r="482" spans="1:11" ht="12" customHeight="1" x14ac:dyDescent="0.2">
      <c r="A482" s="93" t="s">
        <v>0</v>
      </c>
      <c r="B482" s="48">
        <v>21335</v>
      </c>
      <c r="C482" s="48"/>
      <c r="D482" s="49" t="s">
        <v>556</v>
      </c>
      <c r="E482" s="49" t="s">
        <v>11</v>
      </c>
      <c r="F482" s="48" t="s">
        <v>346</v>
      </c>
      <c r="G482" s="49" t="s">
        <v>947</v>
      </c>
      <c r="H482" s="49" t="s">
        <v>756</v>
      </c>
      <c r="I482" s="5">
        <v>35.788200000000003</v>
      </c>
      <c r="J482" s="120">
        <f t="shared" si="18"/>
        <v>35.788200000000003</v>
      </c>
      <c r="K482" s="550"/>
    </row>
    <row r="483" spans="1:11" ht="12" customHeight="1" x14ac:dyDescent="0.2">
      <c r="A483" s="93" t="s">
        <v>0</v>
      </c>
      <c r="B483" s="48">
        <v>21336</v>
      </c>
      <c r="C483" s="48"/>
      <c r="D483" s="49" t="s">
        <v>557</v>
      </c>
      <c r="E483" s="49" t="s">
        <v>440</v>
      </c>
      <c r="F483" s="48" t="s">
        <v>346</v>
      </c>
      <c r="G483" s="49" t="s">
        <v>947</v>
      </c>
      <c r="H483" s="49" t="s">
        <v>756</v>
      </c>
      <c r="I483" s="5">
        <v>29.027279999999998</v>
      </c>
      <c r="J483" s="120">
        <f t="shared" si="18"/>
        <v>29.027279999999998</v>
      </c>
      <c r="K483" s="550"/>
    </row>
    <row r="484" spans="1:11" ht="12" customHeight="1" x14ac:dyDescent="0.2">
      <c r="A484" s="93" t="s">
        <v>0</v>
      </c>
      <c r="B484" s="48">
        <v>21337</v>
      </c>
      <c r="C484" s="48"/>
      <c r="D484" s="49" t="s">
        <v>558</v>
      </c>
      <c r="E484" s="49" t="s">
        <v>15</v>
      </c>
      <c r="F484" s="48" t="s">
        <v>346</v>
      </c>
      <c r="G484" s="49" t="s">
        <v>947</v>
      </c>
      <c r="H484" s="49" t="s">
        <v>756</v>
      </c>
      <c r="I484" s="5">
        <v>24.779640000000001</v>
      </c>
      <c r="J484" s="120">
        <f t="shared" si="18"/>
        <v>24.779640000000001</v>
      </c>
      <c r="K484" s="550"/>
    </row>
    <row r="485" spans="1:11" ht="12" customHeight="1" thickBot="1" x14ac:dyDescent="0.25">
      <c r="A485" s="121" t="s">
        <v>0</v>
      </c>
      <c r="B485" s="122">
        <v>21338</v>
      </c>
      <c r="C485" s="122"/>
      <c r="D485" s="124" t="s">
        <v>559</v>
      </c>
      <c r="E485" s="124" t="s">
        <v>17</v>
      </c>
      <c r="F485" s="122" t="s">
        <v>346</v>
      </c>
      <c r="G485" s="124" t="s">
        <v>947</v>
      </c>
      <c r="H485" s="124" t="s">
        <v>756</v>
      </c>
      <c r="I485" s="5">
        <v>22.430399999999999</v>
      </c>
      <c r="J485" s="126">
        <f t="shared" si="18"/>
        <v>22.430399999999999</v>
      </c>
      <c r="K485" s="550"/>
    </row>
    <row r="486" spans="1:11" ht="12" customHeight="1" x14ac:dyDescent="0.2">
      <c r="A486" s="101" t="s">
        <v>796</v>
      </c>
      <c r="B486" s="102"/>
      <c r="C486" s="102"/>
      <c r="D486" s="102"/>
      <c r="E486" s="102"/>
      <c r="F486" s="102"/>
      <c r="G486" s="102"/>
      <c r="H486" s="102"/>
      <c r="I486" s="102"/>
      <c r="J486" s="103"/>
    </row>
    <row r="487" spans="1:11" ht="12" customHeight="1" x14ac:dyDescent="0.2">
      <c r="A487" s="93" t="s">
        <v>0</v>
      </c>
      <c r="B487" s="48">
        <v>21411</v>
      </c>
      <c r="C487" s="48"/>
      <c r="D487" s="49" t="s">
        <v>560</v>
      </c>
      <c r="E487" s="49" t="s">
        <v>2</v>
      </c>
      <c r="F487" s="48" t="s">
        <v>346</v>
      </c>
      <c r="G487" s="49" t="s">
        <v>109</v>
      </c>
      <c r="H487" s="49" t="s">
        <v>757</v>
      </c>
      <c r="I487" s="5">
        <v>33.440000000000005</v>
      </c>
      <c r="J487" s="120">
        <f t="shared" ref="J487:J510" si="19">IF(I487="on request","on request",IF(F487="Box",I487*(100%-$C$3),IF(F487="License",I487*(100%-$C$4),IF(F487="Renewal",I487*(100%-$C$5),IF(F487="ESD",I487*(100%-$C$3),I487)))))</f>
        <v>33.440000000000005</v>
      </c>
      <c r="K487" s="550"/>
    </row>
    <row r="488" spans="1:11" ht="12" customHeight="1" x14ac:dyDescent="0.2">
      <c r="A488" s="93" t="s">
        <v>0</v>
      </c>
      <c r="B488" s="48">
        <v>21412</v>
      </c>
      <c r="C488" s="48"/>
      <c r="D488" s="49" t="s">
        <v>561</v>
      </c>
      <c r="E488" s="49" t="s">
        <v>5</v>
      </c>
      <c r="F488" s="48" t="s">
        <v>346</v>
      </c>
      <c r="G488" s="49" t="s">
        <v>109</v>
      </c>
      <c r="H488" s="49" t="s">
        <v>757</v>
      </c>
      <c r="I488" s="5">
        <v>22.000000000000004</v>
      </c>
      <c r="J488" s="120">
        <f t="shared" si="19"/>
        <v>22.000000000000004</v>
      </c>
      <c r="K488" s="550"/>
    </row>
    <row r="489" spans="1:11" ht="12" customHeight="1" x14ac:dyDescent="0.2">
      <c r="A489" s="93" t="s">
        <v>0</v>
      </c>
      <c r="B489" s="48">
        <v>21413</v>
      </c>
      <c r="C489" s="48"/>
      <c r="D489" s="49" t="s">
        <v>562</v>
      </c>
      <c r="E489" s="49" t="s">
        <v>7</v>
      </c>
      <c r="F489" s="48" t="s">
        <v>346</v>
      </c>
      <c r="G489" s="49" t="s">
        <v>109</v>
      </c>
      <c r="H489" s="49" t="s">
        <v>757</v>
      </c>
      <c r="I489" s="5">
        <v>16.720000000000002</v>
      </c>
      <c r="J489" s="120">
        <f t="shared" si="19"/>
        <v>16.720000000000002</v>
      </c>
      <c r="K489" s="550"/>
    </row>
    <row r="490" spans="1:11" ht="12" customHeight="1" x14ac:dyDescent="0.2">
      <c r="A490" s="93" t="s">
        <v>0</v>
      </c>
      <c r="B490" s="48">
        <v>21414</v>
      </c>
      <c r="C490" s="48"/>
      <c r="D490" s="49" t="s">
        <v>563</v>
      </c>
      <c r="E490" s="49" t="s">
        <v>9</v>
      </c>
      <c r="F490" s="48" t="s">
        <v>346</v>
      </c>
      <c r="G490" s="49" t="s">
        <v>109</v>
      </c>
      <c r="H490" s="49" t="s">
        <v>757</v>
      </c>
      <c r="I490" s="5">
        <v>14.960000000000003</v>
      </c>
      <c r="J490" s="120">
        <f t="shared" si="19"/>
        <v>14.960000000000003</v>
      </c>
      <c r="K490" s="550"/>
    </row>
    <row r="491" spans="1:11" ht="12" customHeight="1" x14ac:dyDescent="0.2">
      <c r="A491" s="93" t="s">
        <v>0</v>
      </c>
      <c r="B491" s="48">
        <v>21415</v>
      </c>
      <c r="C491" s="48"/>
      <c r="D491" s="49" t="s">
        <v>564</v>
      </c>
      <c r="E491" s="49" t="s">
        <v>11</v>
      </c>
      <c r="F491" s="48" t="s">
        <v>346</v>
      </c>
      <c r="G491" s="49" t="s">
        <v>109</v>
      </c>
      <c r="H491" s="49" t="s">
        <v>757</v>
      </c>
      <c r="I491" s="5">
        <v>12.320000000000002</v>
      </c>
      <c r="J491" s="120">
        <f t="shared" si="19"/>
        <v>12.320000000000002</v>
      </c>
      <c r="K491" s="550"/>
    </row>
    <row r="492" spans="1:11" ht="12" customHeight="1" x14ac:dyDescent="0.2">
      <c r="A492" s="93" t="s">
        <v>0</v>
      </c>
      <c r="B492" s="48">
        <v>21416</v>
      </c>
      <c r="C492" s="48"/>
      <c r="D492" s="49" t="s">
        <v>565</v>
      </c>
      <c r="E492" s="49" t="s">
        <v>440</v>
      </c>
      <c r="F492" s="48" t="s">
        <v>346</v>
      </c>
      <c r="G492" s="49" t="s">
        <v>109</v>
      </c>
      <c r="H492" s="49" t="s">
        <v>757</v>
      </c>
      <c r="I492" s="5">
        <v>10.560000000000002</v>
      </c>
      <c r="J492" s="120">
        <f t="shared" si="19"/>
        <v>10.560000000000002</v>
      </c>
      <c r="K492" s="550"/>
    </row>
    <row r="493" spans="1:11" ht="12" customHeight="1" x14ac:dyDescent="0.2">
      <c r="A493" s="93" t="s">
        <v>0</v>
      </c>
      <c r="B493" s="48">
        <v>21417</v>
      </c>
      <c r="C493" s="48"/>
      <c r="D493" s="49" t="s">
        <v>566</v>
      </c>
      <c r="E493" s="49" t="s">
        <v>15</v>
      </c>
      <c r="F493" s="48" t="s">
        <v>346</v>
      </c>
      <c r="G493" s="49" t="s">
        <v>109</v>
      </c>
      <c r="H493" s="49" t="s">
        <v>757</v>
      </c>
      <c r="I493" s="5">
        <v>8.8000000000000007</v>
      </c>
      <c r="J493" s="120">
        <f t="shared" si="19"/>
        <v>8.8000000000000007</v>
      </c>
      <c r="K493" s="550"/>
    </row>
    <row r="494" spans="1:11" ht="12" customHeight="1" x14ac:dyDescent="0.2">
      <c r="A494" s="93" t="s">
        <v>0</v>
      </c>
      <c r="B494" s="48">
        <v>21418</v>
      </c>
      <c r="C494" s="48"/>
      <c r="D494" s="49" t="s">
        <v>567</v>
      </c>
      <c r="E494" s="49" t="s">
        <v>17</v>
      </c>
      <c r="F494" s="48" t="s">
        <v>346</v>
      </c>
      <c r="G494" s="49" t="s">
        <v>109</v>
      </c>
      <c r="H494" s="49" t="s">
        <v>757</v>
      </c>
      <c r="I494" s="5">
        <v>7.9200000000000008</v>
      </c>
      <c r="J494" s="120">
        <f t="shared" si="19"/>
        <v>7.9200000000000008</v>
      </c>
      <c r="K494" s="550"/>
    </row>
    <row r="495" spans="1:11" ht="12" customHeight="1" x14ac:dyDescent="0.2">
      <c r="A495" s="93" t="s">
        <v>0</v>
      </c>
      <c r="B495" s="48">
        <v>21421</v>
      </c>
      <c r="C495" s="48"/>
      <c r="D495" s="49" t="s">
        <v>568</v>
      </c>
      <c r="E495" s="49" t="s">
        <v>2</v>
      </c>
      <c r="F495" s="48" t="s">
        <v>346</v>
      </c>
      <c r="G495" s="49" t="s">
        <v>109</v>
      </c>
      <c r="H495" s="49" t="s">
        <v>754</v>
      </c>
      <c r="I495" s="5">
        <v>52.140000000000015</v>
      </c>
      <c r="J495" s="120">
        <f t="shared" si="19"/>
        <v>52.140000000000015</v>
      </c>
      <c r="K495" s="550"/>
    </row>
    <row r="496" spans="1:11" ht="12" customHeight="1" x14ac:dyDescent="0.2">
      <c r="A496" s="93" t="s">
        <v>0</v>
      </c>
      <c r="B496" s="48">
        <v>21422</v>
      </c>
      <c r="C496" s="48"/>
      <c r="D496" s="49" t="s">
        <v>569</v>
      </c>
      <c r="E496" s="49" t="s">
        <v>5</v>
      </c>
      <c r="F496" s="48" t="s">
        <v>346</v>
      </c>
      <c r="G496" s="49" t="s">
        <v>109</v>
      </c>
      <c r="H496" s="49" t="s">
        <v>754</v>
      </c>
      <c r="I496" s="5">
        <v>40.326000000000008</v>
      </c>
      <c r="J496" s="120">
        <f t="shared" si="19"/>
        <v>40.326000000000008</v>
      </c>
      <c r="K496" s="550"/>
    </row>
    <row r="497" spans="1:11" ht="12" customHeight="1" x14ac:dyDescent="0.2">
      <c r="A497" s="93" t="s">
        <v>0</v>
      </c>
      <c r="B497" s="48">
        <v>21423</v>
      </c>
      <c r="C497" s="48"/>
      <c r="D497" s="49" t="s">
        <v>570</v>
      </c>
      <c r="E497" s="49" t="s">
        <v>7</v>
      </c>
      <c r="F497" s="48" t="s">
        <v>346</v>
      </c>
      <c r="G497" s="49" t="s">
        <v>109</v>
      </c>
      <c r="H497" s="49" t="s">
        <v>754</v>
      </c>
      <c r="I497" s="5">
        <v>32.128800000000005</v>
      </c>
      <c r="J497" s="120">
        <f t="shared" si="19"/>
        <v>32.128800000000005</v>
      </c>
      <c r="K497" s="550"/>
    </row>
    <row r="498" spans="1:11" ht="12" customHeight="1" x14ac:dyDescent="0.2">
      <c r="A498" s="93" t="s">
        <v>0</v>
      </c>
      <c r="B498" s="48">
        <v>21424</v>
      </c>
      <c r="C498" s="48"/>
      <c r="D498" s="49" t="s">
        <v>571</v>
      </c>
      <c r="E498" s="49" t="s">
        <v>9</v>
      </c>
      <c r="F498" s="48" t="s">
        <v>346</v>
      </c>
      <c r="G498" s="49" t="s">
        <v>109</v>
      </c>
      <c r="H498" s="49" t="s">
        <v>754</v>
      </c>
      <c r="I498" s="5">
        <v>29.396400000000007</v>
      </c>
      <c r="J498" s="120">
        <f t="shared" si="19"/>
        <v>29.396400000000007</v>
      </c>
      <c r="K498" s="550"/>
    </row>
    <row r="499" spans="1:11" ht="12" customHeight="1" x14ac:dyDescent="0.2">
      <c r="A499" s="93" t="s">
        <v>0</v>
      </c>
      <c r="B499" s="48">
        <v>21425</v>
      </c>
      <c r="C499" s="48"/>
      <c r="D499" s="49" t="s">
        <v>572</v>
      </c>
      <c r="E499" s="49" t="s">
        <v>11</v>
      </c>
      <c r="F499" s="48" t="s">
        <v>346</v>
      </c>
      <c r="G499" s="49" t="s">
        <v>109</v>
      </c>
      <c r="H499" s="49" t="s">
        <v>754</v>
      </c>
      <c r="I499" s="5">
        <v>24.026200000000003</v>
      </c>
      <c r="J499" s="120">
        <f t="shared" si="19"/>
        <v>24.026200000000003</v>
      </c>
      <c r="K499" s="550"/>
    </row>
    <row r="500" spans="1:11" ht="12" customHeight="1" x14ac:dyDescent="0.2">
      <c r="A500" s="93" t="s">
        <v>0</v>
      </c>
      <c r="B500" s="48">
        <v>21426</v>
      </c>
      <c r="C500" s="48"/>
      <c r="D500" s="49" t="s">
        <v>573</v>
      </c>
      <c r="E500" s="49" t="s">
        <v>440</v>
      </c>
      <c r="F500" s="48" t="s">
        <v>346</v>
      </c>
      <c r="G500" s="49" t="s">
        <v>109</v>
      </c>
      <c r="H500" s="49" t="s">
        <v>754</v>
      </c>
      <c r="I500" s="5">
        <v>19.73048</v>
      </c>
      <c r="J500" s="120">
        <f t="shared" si="19"/>
        <v>19.73048</v>
      </c>
      <c r="K500" s="550"/>
    </row>
    <row r="501" spans="1:11" ht="12" customHeight="1" x14ac:dyDescent="0.2">
      <c r="A501" s="93" t="s">
        <v>0</v>
      </c>
      <c r="B501" s="48">
        <v>21427</v>
      </c>
      <c r="C501" s="48"/>
      <c r="D501" s="49" t="s">
        <v>574</v>
      </c>
      <c r="E501" s="49" t="s">
        <v>15</v>
      </c>
      <c r="F501" s="48" t="s">
        <v>346</v>
      </c>
      <c r="G501" s="49" t="s">
        <v>109</v>
      </c>
      <c r="H501" s="49" t="s">
        <v>754</v>
      </c>
      <c r="I501" s="5">
        <v>16.751240000000003</v>
      </c>
      <c r="J501" s="120">
        <f t="shared" si="19"/>
        <v>16.751240000000003</v>
      </c>
      <c r="K501" s="550"/>
    </row>
    <row r="502" spans="1:11" ht="12" customHeight="1" x14ac:dyDescent="0.2">
      <c r="A502" s="93" t="s">
        <v>0</v>
      </c>
      <c r="B502" s="48">
        <v>21428</v>
      </c>
      <c r="C502" s="48"/>
      <c r="D502" s="49" t="s">
        <v>575</v>
      </c>
      <c r="E502" s="49" t="s">
        <v>17</v>
      </c>
      <c r="F502" s="48" t="s">
        <v>346</v>
      </c>
      <c r="G502" s="49" t="s">
        <v>109</v>
      </c>
      <c r="H502" s="49" t="s">
        <v>754</v>
      </c>
      <c r="I502" s="5">
        <v>14.726800000000001</v>
      </c>
      <c r="J502" s="120">
        <f t="shared" si="19"/>
        <v>14.726800000000001</v>
      </c>
      <c r="K502" s="550"/>
    </row>
    <row r="503" spans="1:11" ht="12" customHeight="1" x14ac:dyDescent="0.2">
      <c r="A503" s="93" t="s">
        <v>0</v>
      </c>
      <c r="B503" s="48">
        <v>21431</v>
      </c>
      <c r="C503" s="48"/>
      <c r="D503" s="49" t="s">
        <v>576</v>
      </c>
      <c r="E503" s="49" t="s">
        <v>2</v>
      </c>
      <c r="F503" s="48" t="s">
        <v>346</v>
      </c>
      <c r="G503" s="49" t="s">
        <v>109</v>
      </c>
      <c r="H503" s="49" t="s">
        <v>756</v>
      </c>
      <c r="I503" s="5">
        <v>66.165000000000006</v>
      </c>
      <c r="J503" s="120">
        <f t="shared" si="19"/>
        <v>66.165000000000006</v>
      </c>
      <c r="K503" s="550"/>
    </row>
    <row r="504" spans="1:11" ht="12" customHeight="1" x14ac:dyDescent="0.2">
      <c r="A504" s="93" t="s">
        <v>0</v>
      </c>
      <c r="B504" s="48">
        <v>21432</v>
      </c>
      <c r="C504" s="48"/>
      <c r="D504" s="49" t="s">
        <v>577</v>
      </c>
      <c r="E504" s="49" t="s">
        <v>5</v>
      </c>
      <c r="F504" s="48" t="s">
        <v>346</v>
      </c>
      <c r="G504" s="49" t="s">
        <v>109</v>
      </c>
      <c r="H504" s="49" t="s">
        <v>756</v>
      </c>
      <c r="I504" s="5">
        <v>54.07050000000001</v>
      </c>
      <c r="J504" s="120">
        <f t="shared" si="19"/>
        <v>54.07050000000001</v>
      </c>
      <c r="K504" s="550"/>
    </row>
    <row r="505" spans="1:11" ht="12" customHeight="1" x14ac:dyDescent="0.2">
      <c r="A505" s="93" t="s">
        <v>0</v>
      </c>
      <c r="B505" s="48">
        <v>21433</v>
      </c>
      <c r="C505" s="48"/>
      <c r="D505" s="49" t="s">
        <v>578</v>
      </c>
      <c r="E505" s="49" t="s">
        <v>7</v>
      </c>
      <c r="F505" s="48" t="s">
        <v>346</v>
      </c>
      <c r="G505" s="49" t="s">
        <v>109</v>
      </c>
      <c r="H505" s="49" t="s">
        <v>756</v>
      </c>
      <c r="I505" s="5">
        <v>43.685400000000008</v>
      </c>
      <c r="J505" s="120">
        <f t="shared" si="19"/>
        <v>43.685400000000008</v>
      </c>
      <c r="K505" s="550"/>
    </row>
    <row r="506" spans="1:11" ht="12" customHeight="1" x14ac:dyDescent="0.2">
      <c r="A506" s="93" t="s">
        <v>0</v>
      </c>
      <c r="B506" s="48">
        <v>21434</v>
      </c>
      <c r="C506" s="48"/>
      <c r="D506" s="49" t="s">
        <v>579</v>
      </c>
      <c r="E506" s="49" t="s">
        <v>9</v>
      </c>
      <c r="F506" s="48" t="s">
        <v>346</v>
      </c>
      <c r="G506" s="49" t="s">
        <v>109</v>
      </c>
      <c r="H506" s="49" t="s">
        <v>756</v>
      </c>
      <c r="I506" s="5">
        <v>40.223700000000001</v>
      </c>
      <c r="J506" s="120">
        <f t="shared" si="19"/>
        <v>40.223700000000001</v>
      </c>
      <c r="K506" s="550"/>
    </row>
    <row r="507" spans="1:11" ht="12" customHeight="1" x14ac:dyDescent="0.2">
      <c r="A507" s="93" t="s">
        <v>0</v>
      </c>
      <c r="B507" s="48">
        <v>21435</v>
      </c>
      <c r="C507" s="48"/>
      <c r="D507" s="49" t="s">
        <v>580</v>
      </c>
      <c r="E507" s="49" t="s">
        <v>11</v>
      </c>
      <c r="F507" s="48" t="s">
        <v>346</v>
      </c>
      <c r="G507" s="49" t="s">
        <v>109</v>
      </c>
      <c r="H507" s="49" t="s">
        <v>756</v>
      </c>
      <c r="I507" s="5">
        <v>32.805850000000007</v>
      </c>
      <c r="J507" s="120">
        <f t="shared" si="19"/>
        <v>32.805850000000007</v>
      </c>
      <c r="K507" s="550"/>
    </row>
    <row r="508" spans="1:11" ht="12" customHeight="1" x14ac:dyDescent="0.2">
      <c r="A508" s="93" t="s">
        <v>0</v>
      </c>
      <c r="B508" s="48">
        <v>21436</v>
      </c>
      <c r="C508" s="48"/>
      <c r="D508" s="49" t="s">
        <v>581</v>
      </c>
      <c r="E508" s="49" t="s">
        <v>440</v>
      </c>
      <c r="F508" s="48" t="s">
        <v>346</v>
      </c>
      <c r="G508" s="49" t="s">
        <v>109</v>
      </c>
      <c r="H508" s="49" t="s">
        <v>756</v>
      </c>
      <c r="I508" s="5">
        <v>26.608339999999998</v>
      </c>
      <c r="J508" s="120">
        <f t="shared" si="19"/>
        <v>26.608339999999998</v>
      </c>
      <c r="K508" s="550"/>
    </row>
    <row r="509" spans="1:11" ht="12" customHeight="1" x14ac:dyDescent="0.2">
      <c r="A509" s="93" t="s">
        <v>0</v>
      </c>
      <c r="B509" s="48">
        <v>21437</v>
      </c>
      <c r="C509" s="48"/>
      <c r="D509" s="49" t="s">
        <v>582</v>
      </c>
      <c r="E509" s="49" t="s">
        <v>15</v>
      </c>
      <c r="F509" s="48" t="s">
        <v>346</v>
      </c>
      <c r="G509" s="49" t="s">
        <v>109</v>
      </c>
      <c r="H509" s="49" t="s">
        <v>756</v>
      </c>
      <c r="I509" s="5">
        <v>22.714670000000005</v>
      </c>
      <c r="J509" s="120">
        <f t="shared" si="19"/>
        <v>22.714670000000005</v>
      </c>
      <c r="K509" s="550"/>
    </row>
    <row r="510" spans="1:11" ht="12" customHeight="1" thickBot="1" x14ac:dyDescent="0.25">
      <c r="A510" s="121" t="s">
        <v>0</v>
      </c>
      <c r="B510" s="122">
        <v>21438</v>
      </c>
      <c r="C510" s="122"/>
      <c r="D510" s="124" t="s">
        <v>583</v>
      </c>
      <c r="E510" s="124" t="s">
        <v>17</v>
      </c>
      <c r="F510" s="122" t="s">
        <v>346</v>
      </c>
      <c r="G510" s="124" t="s">
        <v>109</v>
      </c>
      <c r="H510" s="124" t="s">
        <v>756</v>
      </c>
      <c r="I510" s="5">
        <v>20.561199999999999</v>
      </c>
      <c r="J510" s="126">
        <f t="shared" si="19"/>
        <v>20.561199999999999</v>
      </c>
      <c r="K510" s="550"/>
    </row>
    <row r="511" spans="1:11" ht="12" customHeight="1" x14ac:dyDescent="0.2">
      <c r="A511" s="101" t="s">
        <v>965</v>
      </c>
      <c r="B511" s="102"/>
      <c r="C511" s="102"/>
      <c r="D511" s="102"/>
      <c r="E511" s="102"/>
      <c r="F511" s="102"/>
      <c r="G511" s="102"/>
      <c r="H511" s="102"/>
      <c r="I511" s="102"/>
      <c r="J511" s="103"/>
    </row>
    <row r="512" spans="1:11" ht="12" customHeight="1" x14ac:dyDescent="0.2">
      <c r="A512" s="93" t="s">
        <v>0</v>
      </c>
      <c r="B512" s="48">
        <v>21511</v>
      </c>
      <c r="C512" s="48"/>
      <c r="D512" s="49" t="s">
        <v>584</v>
      </c>
      <c r="E512" s="49" t="s">
        <v>2</v>
      </c>
      <c r="F512" s="48" t="s">
        <v>346</v>
      </c>
      <c r="G512" s="49" t="s">
        <v>950</v>
      </c>
      <c r="H512" s="49" t="s">
        <v>757</v>
      </c>
      <c r="I512" s="5">
        <v>40.128000000000007</v>
      </c>
      <c r="J512" s="120">
        <v>50.160000000000004</v>
      </c>
      <c r="K512" s="550"/>
    </row>
    <row r="513" spans="1:11" ht="12" customHeight="1" x14ac:dyDescent="0.2">
      <c r="A513" s="93" t="s">
        <v>0</v>
      </c>
      <c r="B513" s="48">
        <v>21512</v>
      </c>
      <c r="C513" s="48"/>
      <c r="D513" s="49" t="s">
        <v>585</v>
      </c>
      <c r="E513" s="49" t="s">
        <v>5</v>
      </c>
      <c r="F513" s="48" t="s">
        <v>346</v>
      </c>
      <c r="G513" s="49" t="s">
        <v>950</v>
      </c>
      <c r="H513" s="49" t="s">
        <v>757</v>
      </c>
      <c r="I513" s="5">
        <v>26.400000000000002</v>
      </c>
      <c r="J513" s="120">
        <v>33</v>
      </c>
      <c r="K513" s="550"/>
    </row>
    <row r="514" spans="1:11" ht="12" customHeight="1" x14ac:dyDescent="0.2">
      <c r="A514" s="93" t="s">
        <v>0</v>
      </c>
      <c r="B514" s="48">
        <v>21513</v>
      </c>
      <c r="C514" s="48"/>
      <c r="D514" s="49" t="s">
        <v>586</v>
      </c>
      <c r="E514" s="49" t="s">
        <v>7</v>
      </c>
      <c r="F514" s="48" t="s">
        <v>346</v>
      </c>
      <c r="G514" s="49" t="s">
        <v>950</v>
      </c>
      <c r="H514" s="49" t="s">
        <v>757</v>
      </c>
      <c r="I514" s="5">
        <v>20.064000000000004</v>
      </c>
      <c r="J514" s="120">
        <v>25.080000000000002</v>
      </c>
      <c r="K514" s="550"/>
    </row>
    <row r="515" spans="1:11" ht="12" customHeight="1" x14ac:dyDescent="0.2">
      <c r="A515" s="93" t="s">
        <v>0</v>
      </c>
      <c r="B515" s="48">
        <v>21514</v>
      </c>
      <c r="C515" s="48"/>
      <c r="D515" s="49" t="s">
        <v>587</v>
      </c>
      <c r="E515" s="49" t="s">
        <v>9</v>
      </c>
      <c r="F515" s="48" t="s">
        <v>346</v>
      </c>
      <c r="G515" s="49" t="s">
        <v>950</v>
      </c>
      <c r="H515" s="49" t="s">
        <v>757</v>
      </c>
      <c r="I515" s="5">
        <v>17.952000000000002</v>
      </c>
      <c r="J515" s="120">
        <v>22.44</v>
      </c>
      <c r="K515" s="550"/>
    </row>
    <row r="516" spans="1:11" ht="12" customHeight="1" x14ac:dyDescent="0.2">
      <c r="A516" s="93" t="s">
        <v>0</v>
      </c>
      <c r="B516" s="48">
        <v>21515</v>
      </c>
      <c r="C516" s="48"/>
      <c r="D516" s="49" t="s">
        <v>588</v>
      </c>
      <c r="E516" s="49" t="s">
        <v>11</v>
      </c>
      <c r="F516" s="48" t="s">
        <v>346</v>
      </c>
      <c r="G516" s="49" t="s">
        <v>950</v>
      </c>
      <c r="H516" s="49" t="s">
        <v>757</v>
      </c>
      <c r="I516" s="5">
        <v>14.784000000000001</v>
      </c>
      <c r="J516" s="120">
        <v>18.48</v>
      </c>
      <c r="K516" s="550"/>
    </row>
    <row r="517" spans="1:11" ht="12" customHeight="1" x14ac:dyDescent="0.2">
      <c r="A517" s="93" t="s">
        <v>0</v>
      </c>
      <c r="B517" s="48">
        <v>21516</v>
      </c>
      <c r="C517" s="48"/>
      <c r="D517" s="49" t="s">
        <v>589</v>
      </c>
      <c r="E517" s="49" t="s">
        <v>440</v>
      </c>
      <c r="F517" s="48" t="s">
        <v>346</v>
      </c>
      <c r="G517" s="49" t="s">
        <v>950</v>
      </c>
      <c r="H517" s="49" t="s">
        <v>757</v>
      </c>
      <c r="I517" s="5">
        <v>12.672000000000001</v>
      </c>
      <c r="J517" s="120">
        <f t="shared" ref="J517:J535" si="20">IF(I517="on request","on request",IF(F517="Box",I517*(100%-$C$3),IF(F517="License",I517*(100%-$C$4),IF(F517="Renewal",I517*(100%-$C$5),IF(F517="ESD",I517*(100%-$C$3),I517)))))</f>
        <v>12.672000000000001</v>
      </c>
      <c r="K517" s="550"/>
    </row>
    <row r="518" spans="1:11" ht="12" customHeight="1" x14ac:dyDescent="0.2">
      <c r="A518" s="93" t="s">
        <v>0</v>
      </c>
      <c r="B518" s="48">
        <v>21517</v>
      </c>
      <c r="C518" s="48"/>
      <c r="D518" s="49" t="s">
        <v>590</v>
      </c>
      <c r="E518" s="49" t="s">
        <v>15</v>
      </c>
      <c r="F518" s="48" t="s">
        <v>346</v>
      </c>
      <c r="G518" s="49" t="s">
        <v>950</v>
      </c>
      <c r="H518" s="49" t="s">
        <v>757</v>
      </c>
      <c r="I518" s="5">
        <v>10.56</v>
      </c>
      <c r="J518" s="120">
        <f t="shared" si="20"/>
        <v>10.56</v>
      </c>
      <c r="K518" s="550"/>
    </row>
    <row r="519" spans="1:11" ht="12" customHeight="1" x14ac:dyDescent="0.2">
      <c r="A519" s="93" t="s">
        <v>0</v>
      </c>
      <c r="B519" s="48">
        <v>21518</v>
      </c>
      <c r="C519" s="48"/>
      <c r="D519" s="49" t="s">
        <v>591</v>
      </c>
      <c r="E519" s="49" t="s">
        <v>17</v>
      </c>
      <c r="F519" s="48" t="s">
        <v>346</v>
      </c>
      <c r="G519" s="49" t="s">
        <v>950</v>
      </c>
      <c r="H519" s="49" t="s">
        <v>757</v>
      </c>
      <c r="I519" s="5">
        <v>9.5040000000000013</v>
      </c>
      <c r="J519" s="120">
        <f t="shared" si="20"/>
        <v>9.5040000000000013</v>
      </c>
      <c r="K519" s="550"/>
    </row>
    <row r="520" spans="1:11" ht="12" customHeight="1" x14ac:dyDescent="0.2">
      <c r="A520" s="93" t="s">
        <v>0</v>
      </c>
      <c r="B520" s="48">
        <v>21521</v>
      </c>
      <c r="C520" s="48"/>
      <c r="D520" s="49" t="s">
        <v>592</v>
      </c>
      <c r="E520" s="49" t="s">
        <v>2</v>
      </c>
      <c r="F520" s="48" t="s">
        <v>346</v>
      </c>
      <c r="G520" s="49" t="s">
        <v>950</v>
      </c>
      <c r="H520" s="49" t="s">
        <v>754</v>
      </c>
      <c r="I520" s="5">
        <v>62.568000000000012</v>
      </c>
      <c r="J520" s="120">
        <v>78.210000000000008</v>
      </c>
      <c r="K520" s="550"/>
    </row>
    <row r="521" spans="1:11" ht="12" customHeight="1" x14ac:dyDescent="0.2">
      <c r="A521" s="93" t="s">
        <v>0</v>
      </c>
      <c r="B521" s="48">
        <v>21522</v>
      </c>
      <c r="C521" s="48"/>
      <c r="D521" s="49" t="s">
        <v>593</v>
      </c>
      <c r="E521" s="49" t="s">
        <v>5</v>
      </c>
      <c r="F521" s="48" t="s">
        <v>346</v>
      </c>
      <c r="G521" s="49" t="s">
        <v>950</v>
      </c>
      <c r="H521" s="49" t="s">
        <v>754</v>
      </c>
      <c r="I521" s="5">
        <v>48.391200000000005</v>
      </c>
      <c r="J521" s="120">
        <v>60.489000000000004</v>
      </c>
      <c r="K521" s="550"/>
    </row>
    <row r="522" spans="1:11" ht="12" customHeight="1" x14ac:dyDescent="0.2">
      <c r="A522" s="93" t="s">
        <v>0</v>
      </c>
      <c r="B522" s="48">
        <v>21523</v>
      </c>
      <c r="C522" s="48"/>
      <c r="D522" s="49" t="s">
        <v>594</v>
      </c>
      <c r="E522" s="49" t="s">
        <v>7</v>
      </c>
      <c r="F522" s="48" t="s">
        <v>346</v>
      </c>
      <c r="G522" s="49" t="s">
        <v>950</v>
      </c>
      <c r="H522" s="49" t="s">
        <v>754</v>
      </c>
      <c r="I522" s="5">
        <v>38.554560000000009</v>
      </c>
      <c r="J522" s="120">
        <v>48.193200000000012</v>
      </c>
      <c r="K522" s="550"/>
    </row>
    <row r="523" spans="1:11" ht="12" customHeight="1" x14ac:dyDescent="0.2">
      <c r="A523" s="93" t="s">
        <v>0</v>
      </c>
      <c r="B523" s="48">
        <v>21524</v>
      </c>
      <c r="C523" s="48"/>
      <c r="D523" s="49" t="s">
        <v>595</v>
      </c>
      <c r="E523" s="49" t="s">
        <v>9</v>
      </c>
      <c r="F523" s="48" t="s">
        <v>346</v>
      </c>
      <c r="G523" s="49" t="s">
        <v>950</v>
      </c>
      <c r="H523" s="49" t="s">
        <v>754</v>
      </c>
      <c r="I523" s="5">
        <v>35.275680000000008</v>
      </c>
      <c r="J523" s="120">
        <v>44.094600000000007</v>
      </c>
      <c r="K523" s="550"/>
    </row>
    <row r="524" spans="1:11" ht="12" customHeight="1" x14ac:dyDescent="0.2">
      <c r="A524" s="93" t="s">
        <v>0</v>
      </c>
      <c r="B524" s="48">
        <v>21525</v>
      </c>
      <c r="C524" s="48"/>
      <c r="D524" s="49" t="s">
        <v>596</v>
      </c>
      <c r="E524" s="49" t="s">
        <v>11</v>
      </c>
      <c r="F524" s="48" t="s">
        <v>346</v>
      </c>
      <c r="G524" s="49" t="s">
        <v>950</v>
      </c>
      <c r="H524" s="49" t="s">
        <v>754</v>
      </c>
      <c r="I524" s="5">
        <v>28.831440000000004</v>
      </c>
      <c r="J524" s="120">
        <f t="shared" si="20"/>
        <v>28.831440000000004</v>
      </c>
      <c r="K524" s="550"/>
    </row>
    <row r="525" spans="1:11" ht="12" customHeight="1" x14ac:dyDescent="0.2">
      <c r="A525" s="93" t="s">
        <v>0</v>
      </c>
      <c r="B525" s="48">
        <v>21526</v>
      </c>
      <c r="C525" s="48"/>
      <c r="D525" s="49" t="s">
        <v>597</v>
      </c>
      <c r="E525" s="49" t="s">
        <v>440</v>
      </c>
      <c r="F525" s="48" t="s">
        <v>346</v>
      </c>
      <c r="G525" s="49" t="s">
        <v>950</v>
      </c>
      <c r="H525" s="49" t="s">
        <v>754</v>
      </c>
      <c r="I525" s="5">
        <v>23.676576000000001</v>
      </c>
      <c r="J525" s="120">
        <f t="shared" si="20"/>
        <v>23.676576000000001</v>
      </c>
      <c r="K525" s="550"/>
    </row>
    <row r="526" spans="1:11" ht="12" customHeight="1" x14ac:dyDescent="0.2">
      <c r="A526" s="93" t="s">
        <v>0</v>
      </c>
      <c r="B526" s="48">
        <v>21527</v>
      </c>
      <c r="C526" s="48"/>
      <c r="D526" s="49" t="s">
        <v>598</v>
      </c>
      <c r="E526" s="49" t="s">
        <v>15</v>
      </c>
      <c r="F526" s="48" t="s">
        <v>346</v>
      </c>
      <c r="G526" s="49" t="s">
        <v>950</v>
      </c>
      <c r="H526" s="49" t="s">
        <v>754</v>
      </c>
      <c r="I526" s="5">
        <v>20.101488000000003</v>
      </c>
      <c r="J526" s="120">
        <f t="shared" si="20"/>
        <v>20.101488000000003</v>
      </c>
      <c r="K526" s="550"/>
    </row>
    <row r="527" spans="1:11" ht="12" customHeight="1" x14ac:dyDescent="0.2">
      <c r="A527" s="93" t="s">
        <v>0</v>
      </c>
      <c r="B527" s="48">
        <v>21528</v>
      </c>
      <c r="C527" s="48"/>
      <c r="D527" s="49" t="s">
        <v>599</v>
      </c>
      <c r="E527" s="49" t="s">
        <v>17</v>
      </c>
      <c r="F527" s="48" t="s">
        <v>346</v>
      </c>
      <c r="G527" s="49" t="s">
        <v>950</v>
      </c>
      <c r="H527" s="49" t="s">
        <v>754</v>
      </c>
      <c r="I527" s="5">
        <v>17.672160000000002</v>
      </c>
      <c r="J527" s="120">
        <f t="shared" si="20"/>
        <v>17.672160000000002</v>
      </c>
      <c r="K527" s="550"/>
    </row>
    <row r="528" spans="1:11" ht="12" customHeight="1" x14ac:dyDescent="0.2">
      <c r="A528" s="93" t="s">
        <v>0</v>
      </c>
      <c r="B528" s="48">
        <v>21531</v>
      </c>
      <c r="C528" s="48"/>
      <c r="D528" s="49" t="s">
        <v>600</v>
      </c>
      <c r="E528" s="49" t="s">
        <v>2</v>
      </c>
      <c r="F528" s="48" t="s">
        <v>346</v>
      </c>
      <c r="G528" s="49" t="s">
        <v>950</v>
      </c>
      <c r="H528" s="49" t="s">
        <v>756</v>
      </c>
      <c r="I528" s="5">
        <v>79.398000000000025</v>
      </c>
      <c r="J528" s="120">
        <v>99.247500000000016</v>
      </c>
      <c r="K528" s="550"/>
    </row>
    <row r="529" spans="1:11" ht="12" customHeight="1" x14ac:dyDescent="0.2">
      <c r="A529" s="93" t="s">
        <v>0</v>
      </c>
      <c r="B529" s="48">
        <v>21532</v>
      </c>
      <c r="C529" s="48"/>
      <c r="D529" s="49" t="s">
        <v>601</v>
      </c>
      <c r="E529" s="49" t="s">
        <v>5</v>
      </c>
      <c r="F529" s="48" t="s">
        <v>346</v>
      </c>
      <c r="G529" s="49" t="s">
        <v>950</v>
      </c>
      <c r="H529" s="49" t="s">
        <v>756</v>
      </c>
      <c r="I529" s="5">
        <v>64.884600000000006</v>
      </c>
      <c r="J529" s="120">
        <v>81.10575</v>
      </c>
      <c r="K529" s="550"/>
    </row>
    <row r="530" spans="1:11" ht="12" customHeight="1" x14ac:dyDescent="0.2">
      <c r="A530" s="93" t="s">
        <v>0</v>
      </c>
      <c r="B530" s="48">
        <v>21533</v>
      </c>
      <c r="C530" s="48"/>
      <c r="D530" s="49" t="s">
        <v>602</v>
      </c>
      <c r="E530" s="49" t="s">
        <v>7</v>
      </c>
      <c r="F530" s="48" t="s">
        <v>346</v>
      </c>
      <c r="G530" s="49" t="s">
        <v>950</v>
      </c>
      <c r="H530" s="49" t="s">
        <v>756</v>
      </c>
      <c r="I530" s="5">
        <v>52.422480000000007</v>
      </c>
      <c r="J530" s="120">
        <v>65.528100000000009</v>
      </c>
      <c r="K530" s="550"/>
    </row>
    <row r="531" spans="1:11" ht="12" customHeight="1" x14ac:dyDescent="0.2">
      <c r="A531" s="93" t="s">
        <v>0</v>
      </c>
      <c r="B531" s="48">
        <v>21534</v>
      </c>
      <c r="C531" s="48"/>
      <c r="D531" s="49" t="s">
        <v>603</v>
      </c>
      <c r="E531" s="49" t="s">
        <v>9</v>
      </c>
      <c r="F531" s="48" t="s">
        <v>346</v>
      </c>
      <c r="G531" s="49" t="s">
        <v>950</v>
      </c>
      <c r="H531" s="49" t="s">
        <v>756</v>
      </c>
      <c r="I531" s="5">
        <v>48.268439999999998</v>
      </c>
      <c r="J531" s="120">
        <v>60.335549999999991</v>
      </c>
      <c r="K531" s="550"/>
    </row>
    <row r="532" spans="1:11" ht="12" customHeight="1" x14ac:dyDescent="0.2">
      <c r="A532" s="93" t="s">
        <v>0</v>
      </c>
      <c r="B532" s="48">
        <v>21535</v>
      </c>
      <c r="C532" s="48"/>
      <c r="D532" s="49" t="s">
        <v>604</v>
      </c>
      <c r="E532" s="49" t="s">
        <v>11</v>
      </c>
      <c r="F532" s="48" t="s">
        <v>346</v>
      </c>
      <c r="G532" s="49" t="s">
        <v>950</v>
      </c>
      <c r="H532" s="49" t="s">
        <v>756</v>
      </c>
      <c r="I532" s="5">
        <v>39.367020000000004</v>
      </c>
      <c r="J532" s="120">
        <f t="shared" si="20"/>
        <v>39.367020000000004</v>
      </c>
      <c r="K532" s="550"/>
    </row>
    <row r="533" spans="1:11" ht="12" customHeight="1" x14ac:dyDescent="0.2">
      <c r="A533" s="93" t="s">
        <v>0</v>
      </c>
      <c r="B533" s="48">
        <v>21536</v>
      </c>
      <c r="C533" s="48"/>
      <c r="D533" s="49" t="s">
        <v>605</v>
      </c>
      <c r="E533" s="49" t="s">
        <v>440</v>
      </c>
      <c r="F533" s="48" t="s">
        <v>346</v>
      </c>
      <c r="G533" s="49" t="s">
        <v>950</v>
      </c>
      <c r="H533" s="49" t="s">
        <v>756</v>
      </c>
      <c r="I533" s="5">
        <v>31.930008000000001</v>
      </c>
      <c r="J533" s="120">
        <f t="shared" si="20"/>
        <v>31.930008000000001</v>
      </c>
      <c r="K533" s="550"/>
    </row>
    <row r="534" spans="1:11" ht="12" customHeight="1" x14ac:dyDescent="0.2">
      <c r="A534" s="93" t="s">
        <v>0</v>
      </c>
      <c r="B534" s="48">
        <v>21537</v>
      </c>
      <c r="C534" s="48"/>
      <c r="D534" s="49" t="s">
        <v>606</v>
      </c>
      <c r="E534" s="49" t="s">
        <v>15</v>
      </c>
      <c r="F534" s="48" t="s">
        <v>346</v>
      </c>
      <c r="G534" s="49" t="s">
        <v>950</v>
      </c>
      <c r="H534" s="49" t="s">
        <v>756</v>
      </c>
      <c r="I534" s="5">
        <v>27.257604000000004</v>
      </c>
      <c r="J534" s="120">
        <f t="shared" si="20"/>
        <v>27.257604000000004</v>
      </c>
      <c r="K534" s="550"/>
    </row>
    <row r="535" spans="1:11" ht="12" customHeight="1" thickBot="1" x14ac:dyDescent="0.25">
      <c r="A535" s="121" t="s">
        <v>0</v>
      </c>
      <c r="B535" s="122">
        <v>21538</v>
      </c>
      <c r="C535" s="122"/>
      <c r="D535" s="124" t="s">
        <v>607</v>
      </c>
      <c r="E535" s="124" t="s">
        <v>17</v>
      </c>
      <c r="F535" s="122" t="s">
        <v>346</v>
      </c>
      <c r="G535" s="124" t="s">
        <v>950</v>
      </c>
      <c r="H535" s="124" t="s">
        <v>756</v>
      </c>
      <c r="I535" s="5">
        <v>24.673439999999999</v>
      </c>
      <c r="J535" s="126">
        <f t="shared" si="20"/>
        <v>24.673439999999999</v>
      </c>
      <c r="K535" s="550"/>
    </row>
    <row r="536" spans="1:11" ht="12" customHeight="1" x14ac:dyDescent="0.2">
      <c r="A536" s="101" t="s">
        <v>797</v>
      </c>
      <c r="B536" s="102"/>
      <c r="C536" s="102"/>
      <c r="D536" s="102"/>
      <c r="E536" s="102"/>
      <c r="F536" s="102"/>
      <c r="G536" s="102"/>
      <c r="H536" s="102"/>
      <c r="I536" s="102"/>
      <c r="J536" s="103"/>
    </row>
    <row r="537" spans="1:11" ht="12" customHeight="1" x14ac:dyDescent="0.2">
      <c r="A537" s="93" t="s">
        <v>0</v>
      </c>
      <c r="B537" s="48">
        <v>21911</v>
      </c>
      <c r="C537" s="48"/>
      <c r="D537" s="49" t="s">
        <v>608</v>
      </c>
      <c r="E537" s="49" t="s">
        <v>2</v>
      </c>
      <c r="F537" s="48" t="s">
        <v>346</v>
      </c>
      <c r="G537" s="49" t="s">
        <v>206</v>
      </c>
      <c r="H537" s="49" t="s">
        <v>757</v>
      </c>
      <c r="I537" s="5">
        <v>36.480000000000004</v>
      </c>
      <c r="J537" s="120">
        <f t="shared" ref="J537:J560" si="21">IF(I537="on request","on request",IF(F537="Box",I537*(100%-$C$3),IF(F537="License",I537*(100%-$C$4),IF(F537="Renewal",I537*(100%-$C$5),IF(F537="ESD",I537*(100%-$C$3),I537)))))</f>
        <v>36.480000000000004</v>
      </c>
      <c r="K537" s="550"/>
    </row>
    <row r="538" spans="1:11" ht="12" customHeight="1" x14ac:dyDescent="0.2">
      <c r="A538" s="93" t="s">
        <v>0</v>
      </c>
      <c r="B538" s="48">
        <v>21912</v>
      </c>
      <c r="C538" s="48"/>
      <c r="D538" s="49" t="s">
        <v>609</v>
      </c>
      <c r="E538" s="49" t="s">
        <v>5</v>
      </c>
      <c r="F538" s="48" t="s">
        <v>346</v>
      </c>
      <c r="G538" s="49" t="s">
        <v>206</v>
      </c>
      <c r="H538" s="49" t="s">
        <v>757</v>
      </c>
      <c r="I538" s="5">
        <v>24</v>
      </c>
      <c r="J538" s="120">
        <f t="shared" si="21"/>
        <v>24</v>
      </c>
      <c r="K538" s="550"/>
    </row>
    <row r="539" spans="1:11" ht="12" customHeight="1" x14ac:dyDescent="0.2">
      <c r="A539" s="93" t="s">
        <v>0</v>
      </c>
      <c r="B539" s="48">
        <v>21913</v>
      </c>
      <c r="C539" s="48"/>
      <c r="D539" s="49" t="s">
        <v>610</v>
      </c>
      <c r="E539" s="49" t="s">
        <v>7</v>
      </c>
      <c r="F539" s="48" t="s">
        <v>346</v>
      </c>
      <c r="G539" s="49" t="s">
        <v>206</v>
      </c>
      <c r="H539" s="49" t="s">
        <v>757</v>
      </c>
      <c r="I539" s="5">
        <v>18.240000000000002</v>
      </c>
      <c r="J539" s="120">
        <f t="shared" si="21"/>
        <v>18.240000000000002</v>
      </c>
      <c r="K539" s="550"/>
    </row>
    <row r="540" spans="1:11" ht="12" customHeight="1" x14ac:dyDescent="0.2">
      <c r="A540" s="93" t="s">
        <v>0</v>
      </c>
      <c r="B540" s="48">
        <v>21914</v>
      </c>
      <c r="C540" s="48"/>
      <c r="D540" s="49" t="s">
        <v>611</v>
      </c>
      <c r="E540" s="49" t="s">
        <v>9</v>
      </c>
      <c r="F540" s="48" t="s">
        <v>346</v>
      </c>
      <c r="G540" s="49" t="s">
        <v>206</v>
      </c>
      <c r="H540" s="49" t="s">
        <v>757</v>
      </c>
      <c r="I540" s="5">
        <v>16.32</v>
      </c>
      <c r="J540" s="120">
        <f t="shared" si="21"/>
        <v>16.32</v>
      </c>
      <c r="K540" s="550"/>
    </row>
    <row r="541" spans="1:11" ht="12" customHeight="1" x14ac:dyDescent="0.2">
      <c r="A541" s="93" t="s">
        <v>0</v>
      </c>
      <c r="B541" s="48">
        <v>21915</v>
      </c>
      <c r="C541" s="48"/>
      <c r="D541" s="49" t="s">
        <v>612</v>
      </c>
      <c r="E541" s="49" t="s">
        <v>11</v>
      </c>
      <c r="F541" s="48" t="s">
        <v>346</v>
      </c>
      <c r="G541" s="49" t="s">
        <v>206</v>
      </c>
      <c r="H541" s="49" t="s">
        <v>757</v>
      </c>
      <c r="I541" s="5">
        <v>13.440000000000001</v>
      </c>
      <c r="J541" s="120">
        <f t="shared" si="21"/>
        <v>13.440000000000001</v>
      </c>
      <c r="K541" s="550"/>
    </row>
    <row r="542" spans="1:11" ht="12" customHeight="1" x14ac:dyDescent="0.2">
      <c r="A542" s="93" t="s">
        <v>0</v>
      </c>
      <c r="B542" s="48">
        <v>21916</v>
      </c>
      <c r="C542" s="48"/>
      <c r="D542" s="49" t="s">
        <v>613</v>
      </c>
      <c r="E542" s="49" t="s">
        <v>440</v>
      </c>
      <c r="F542" s="48" t="s">
        <v>346</v>
      </c>
      <c r="G542" s="49" t="s">
        <v>206</v>
      </c>
      <c r="H542" s="49" t="s">
        <v>757</v>
      </c>
      <c r="I542" s="5">
        <v>11.52</v>
      </c>
      <c r="J542" s="120">
        <f t="shared" si="21"/>
        <v>11.52</v>
      </c>
      <c r="K542" s="550"/>
    </row>
    <row r="543" spans="1:11" ht="12" customHeight="1" x14ac:dyDescent="0.2">
      <c r="A543" s="93" t="s">
        <v>0</v>
      </c>
      <c r="B543" s="48">
        <v>21917</v>
      </c>
      <c r="C543" s="48"/>
      <c r="D543" s="49" t="s">
        <v>614</v>
      </c>
      <c r="E543" s="49" t="s">
        <v>15</v>
      </c>
      <c r="F543" s="48" t="s">
        <v>346</v>
      </c>
      <c r="G543" s="49" t="s">
        <v>206</v>
      </c>
      <c r="H543" s="49" t="s">
        <v>757</v>
      </c>
      <c r="I543" s="5">
        <v>9.6000000000000014</v>
      </c>
      <c r="J543" s="120">
        <f t="shared" si="21"/>
        <v>9.6000000000000014</v>
      </c>
      <c r="K543" s="550"/>
    </row>
    <row r="544" spans="1:11" ht="12" customHeight="1" x14ac:dyDescent="0.2">
      <c r="A544" s="93" t="s">
        <v>0</v>
      </c>
      <c r="B544" s="48">
        <v>21918</v>
      </c>
      <c r="C544" s="48"/>
      <c r="D544" s="49" t="s">
        <v>615</v>
      </c>
      <c r="E544" s="49" t="s">
        <v>17</v>
      </c>
      <c r="F544" s="48" t="s">
        <v>346</v>
      </c>
      <c r="G544" s="49" t="s">
        <v>206</v>
      </c>
      <c r="H544" s="49" t="s">
        <v>757</v>
      </c>
      <c r="I544" s="5">
        <v>8.6399999999999988</v>
      </c>
      <c r="J544" s="120">
        <f t="shared" si="21"/>
        <v>8.6399999999999988</v>
      </c>
      <c r="K544" s="550"/>
    </row>
    <row r="545" spans="1:11" ht="12" customHeight="1" x14ac:dyDescent="0.2">
      <c r="A545" s="93" t="s">
        <v>0</v>
      </c>
      <c r="B545" s="48">
        <v>21921</v>
      </c>
      <c r="C545" s="48"/>
      <c r="D545" s="49" t="s">
        <v>616</v>
      </c>
      <c r="E545" s="49" t="s">
        <v>2</v>
      </c>
      <c r="F545" s="48" t="s">
        <v>346</v>
      </c>
      <c r="G545" s="49" t="s">
        <v>206</v>
      </c>
      <c r="H545" s="49" t="s">
        <v>754</v>
      </c>
      <c r="I545" s="5">
        <v>56.879999999999995</v>
      </c>
      <c r="J545" s="120">
        <f t="shared" si="21"/>
        <v>56.879999999999995</v>
      </c>
      <c r="K545" s="550"/>
    </row>
    <row r="546" spans="1:11" ht="12" customHeight="1" x14ac:dyDescent="0.2">
      <c r="A546" s="93" t="s">
        <v>0</v>
      </c>
      <c r="B546" s="48">
        <v>21922</v>
      </c>
      <c r="C546" s="48"/>
      <c r="D546" s="49" t="s">
        <v>617</v>
      </c>
      <c r="E546" s="49" t="s">
        <v>5</v>
      </c>
      <c r="F546" s="48" t="s">
        <v>346</v>
      </c>
      <c r="G546" s="49" t="s">
        <v>206</v>
      </c>
      <c r="H546" s="49" t="s">
        <v>754</v>
      </c>
      <c r="I546" s="5">
        <v>43.992000000000004</v>
      </c>
      <c r="J546" s="120">
        <f t="shared" si="21"/>
        <v>43.992000000000004</v>
      </c>
      <c r="K546" s="550"/>
    </row>
    <row r="547" spans="1:11" ht="12" customHeight="1" x14ac:dyDescent="0.2">
      <c r="A547" s="93" t="s">
        <v>0</v>
      </c>
      <c r="B547" s="48">
        <v>21923</v>
      </c>
      <c r="C547" s="48"/>
      <c r="D547" s="49" t="s">
        <v>618</v>
      </c>
      <c r="E547" s="49" t="s">
        <v>7</v>
      </c>
      <c r="F547" s="48" t="s">
        <v>346</v>
      </c>
      <c r="G547" s="49" t="s">
        <v>206</v>
      </c>
      <c r="H547" s="49" t="s">
        <v>754</v>
      </c>
      <c r="I547" s="5">
        <v>35.049600000000005</v>
      </c>
      <c r="J547" s="120">
        <f t="shared" si="21"/>
        <v>35.049600000000005</v>
      </c>
      <c r="K547" s="550"/>
    </row>
    <row r="548" spans="1:11" ht="12" customHeight="1" x14ac:dyDescent="0.2">
      <c r="A548" s="93" t="s">
        <v>0</v>
      </c>
      <c r="B548" s="48">
        <v>21924</v>
      </c>
      <c r="C548" s="48"/>
      <c r="D548" s="49" t="s">
        <v>619</v>
      </c>
      <c r="E548" s="49" t="s">
        <v>9</v>
      </c>
      <c r="F548" s="48" t="s">
        <v>346</v>
      </c>
      <c r="G548" s="49" t="s">
        <v>206</v>
      </c>
      <c r="H548" s="49" t="s">
        <v>754</v>
      </c>
      <c r="I548" s="5">
        <v>32.068800000000003</v>
      </c>
      <c r="J548" s="120">
        <f t="shared" si="21"/>
        <v>32.068800000000003</v>
      </c>
      <c r="K548" s="550"/>
    </row>
    <row r="549" spans="1:11" ht="12" customHeight="1" x14ac:dyDescent="0.2">
      <c r="A549" s="93" t="s">
        <v>0</v>
      </c>
      <c r="B549" s="48">
        <v>21925</v>
      </c>
      <c r="C549" s="48"/>
      <c r="D549" s="49" t="s">
        <v>620</v>
      </c>
      <c r="E549" s="49" t="s">
        <v>11</v>
      </c>
      <c r="F549" s="48" t="s">
        <v>346</v>
      </c>
      <c r="G549" s="49" t="s">
        <v>206</v>
      </c>
      <c r="H549" s="49" t="s">
        <v>754</v>
      </c>
      <c r="I549" s="5">
        <v>26.2104</v>
      </c>
      <c r="J549" s="120">
        <f t="shared" si="21"/>
        <v>26.2104</v>
      </c>
      <c r="K549" s="550"/>
    </row>
    <row r="550" spans="1:11" ht="12" customHeight="1" x14ac:dyDescent="0.2">
      <c r="A550" s="93" t="s">
        <v>0</v>
      </c>
      <c r="B550" s="48">
        <v>21926</v>
      </c>
      <c r="C550" s="48"/>
      <c r="D550" s="49" t="s">
        <v>621</v>
      </c>
      <c r="E550" s="49" t="s">
        <v>440</v>
      </c>
      <c r="F550" s="48" t="s">
        <v>346</v>
      </c>
      <c r="G550" s="49" t="s">
        <v>206</v>
      </c>
      <c r="H550" s="49" t="s">
        <v>754</v>
      </c>
      <c r="I550" s="5">
        <v>21.524159999999998</v>
      </c>
      <c r="J550" s="120">
        <f t="shared" si="21"/>
        <v>21.524159999999998</v>
      </c>
      <c r="K550" s="550"/>
    </row>
    <row r="551" spans="1:11" ht="12" customHeight="1" x14ac:dyDescent="0.2">
      <c r="A551" s="93" t="s">
        <v>0</v>
      </c>
      <c r="B551" s="48">
        <v>21927</v>
      </c>
      <c r="C551" s="48"/>
      <c r="D551" s="49" t="s">
        <v>622</v>
      </c>
      <c r="E551" s="49" t="s">
        <v>15</v>
      </c>
      <c r="F551" s="48" t="s">
        <v>346</v>
      </c>
      <c r="G551" s="49" t="s">
        <v>206</v>
      </c>
      <c r="H551" s="49" t="s">
        <v>754</v>
      </c>
      <c r="I551" s="5">
        <v>18.274079999999998</v>
      </c>
      <c r="J551" s="120">
        <f t="shared" si="21"/>
        <v>18.274079999999998</v>
      </c>
      <c r="K551" s="550"/>
    </row>
    <row r="552" spans="1:11" ht="12" customHeight="1" x14ac:dyDescent="0.2">
      <c r="A552" s="93" t="s">
        <v>0</v>
      </c>
      <c r="B552" s="48">
        <v>21928</v>
      </c>
      <c r="C552" s="48"/>
      <c r="D552" s="49" t="s">
        <v>623</v>
      </c>
      <c r="E552" s="49" t="s">
        <v>17</v>
      </c>
      <c r="F552" s="48" t="s">
        <v>346</v>
      </c>
      <c r="G552" s="49" t="s">
        <v>206</v>
      </c>
      <c r="H552" s="49" t="s">
        <v>754</v>
      </c>
      <c r="I552" s="5">
        <v>16.0656</v>
      </c>
      <c r="J552" s="120">
        <f t="shared" si="21"/>
        <v>16.0656</v>
      </c>
      <c r="K552" s="550"/>
    </row>
    <row r="553" spans="1:11" ht="12" customHeight="1" x14ac:dyDescent="0.2">
      <c r="A553" s="93" t="s">
        <v>0</v>
      </c>
      <c r="B553" s="48">
        <v>21931</v>
      </c>
      <c r="C553" s="48"/>
      <c r="D553" s="49" t="s">
        <v>624</v>
      </c>
      <c r="E553" s="49" t="s">
        <v>2</v>
      </c>
      <c r="F553" s="48" t="s">
        <v>346</v>
      </c>
      <c r="G553" s="49" t="s">
        <v>206</v>
      </c>
      <c r="H553" s="49" t="s">
        <v>756</v>
      </c>
      <c r="I553" s="5">
        <v>72.179999999999993</v>
      </c>
      <c r="J553" s="120">
        <f t="shared" si="21"/>
        <v>72.179999999999993</v>
      </c>
      <c r="K553" s="550"/>
    </row>
    <row r="554" spans="1:11" ht="12" customHeight="1" x14ac:dyDescent="0.2">
      <c r="A554" s="93" t="s">
        <v>0</v>
      </c>
      <c r="B554" s="48">
        <v>21932</v>
      </c>
      <c r="C554" s="48"/>
      <c r="D554" s="49" t="s">
        <v>625</v>
      </c>
      <c r="E554" s="49" t="s">
        <v>5</v>
      </c>
      <c r="F554" s="48" t="s">
        <v>346</v>
      </c>
      <c r="G554" s="49" t="s">
        <v>206</v>
      </c>
      <c r="H554" s="49" t="s">
        <v>756</v>
      </c>
      <c r="I554" s="5">
        <v>58.986000000000004</v>
      </c>
      <c r="J554" s="120">
        <f t="shared" si="21"/>
        <v>58.986000000000004</v>
      </c>
      <c r="K554" s="550"/>
    </row>
    <row r="555" spans="1:11" ht="12" customHeight="1" x14ac:dyDescent="0.2">
      <c r="A555" s="93" t="s">
        <v>0</v>
      </c>
      <c r="B555" s="48">
        <v>21933</v>
      </c>
      <c r="C555" s="48"/>
      <c r="D555" s="49" t="s">
        <v>626</v>
      </c>
      <c r="E555" s="49" t="s">
        <v>7</v>
      </c>
      <c r="F555" s="48" t="s">
        <v>346</v>
      </c>
      <c r="G555" s="49" t="s">
        <v>206</v>
      </c>
      <c r="H555" s="49" t="s">
        <v>756</v>
      </c>
      <c r="I555" s="5">
        <v>47.656800000000004</v>
      </c>
      <c r="J555" s="120">
        <f t="shared" si="21"/>
        <v>47.656800000000004</v>
      </c>
      <c r="K555" s="550"/>
    </row>
    <row r="556" spans="1:11" ht="12" customHeight="1" x14ac:dyDescent="0.2">
      <c r="A556" s="93" t="s">
        <v>0</v>
      </c>
      <c r="B556" s="48">
        <v>21934</v>
      </c>
      <c r="C556" s="48"/>
      <c r="D556" s="49" t="s">
        <v>627</v>
      </c>
      <c r="E556" s="49" t="s">
        <v>9</v>
      </c>
      <c r="F556" s="48" t="s">
        <v>346</v>
      </c>
      <c r="G556" s="49" t="s">
        <v>206</v>
      </c>
      <c r="H556" s="49" t="s">
        <v>756</v>
      </c>
      <c r="I556" s="5">
        <v>43.880399999999995</v>
      </c>
      <c r="J556" s="120">
        <f t="shared" si="21"/>
        <v>43.880399999999995</v>
      </c>
      <c r="K556" s="550"/>
    </row>
    <row r="557" spans="1:11" ht="12" customHeight="1" x14ac:dyDescent="0.2">
      <c r="A557" s="93" t="s">
        <v>0</v>
      </c>
      <c r="B557" s="48">
        <v>21935</v>
      </c>
      <c r="C557" s="48"/>
      <c r="D557" s="49" t="s">
        <v>628</v>
      </c>
      <c r="E557" s="49" t="s">
        <v>11</v>
      </c>
      <c r="F557" s="48" t="s">
        <v>346</v>
      </c>
      <c r="G557" s="49" t="s">
        <v>206</v>
      </c>
      <c r="H557" s="49" t="s">
        <v>756</v>
      </c>
      <c r="I557" s="5">
        <v>35.788200000000003</v>
      </c>
      <c r="J557" s="120">
        <f t="shared" si="21"/>
        <v>35.788200000000003</v>
      </c>
      <c r="K557" s="550"/>
    </row>
    <row r="558" spans="1:11" ht="12" customHeight="1" x14ac:dyDescent="0.2">
      <c r="A558" s="93" t="s">
        <v>0</v>
      </c>
      <c r="B558" s="48">
        <v>21936</v>
      </c>
      <c r="C558" s="48"/>
      <c r="D558" s="49" t="s">
        <v>629</v>
      </c>
      <c r="E558" s="49" t="s">
        <v>440</v>
      </c>
      <c r="F558" s="48" t="s">
        <v>346</v>
      </c>
      <c r="G558" s="49" t="s">
        <v>206</v>
      </c>
      <c r="H558" s="49" t="s">
        <v>756</v>
      </c>
      <c r="I558" s="5">
        <v>29.027279999999998</v>
      </c>
      <c r="J558" s="120">
        <f t="shared" si="21"/>
        <v>29.027279999999998</v>
      </c>
      <c r="K558" s="550"/>
    </row>
    <row r="559" spans="1:11" ht="12" customHeight="1" x14ac:dyDescent="0.2">
      <c r="A559" s="93" t="s">
        <v>0</v>
      </c>
      <c r="B559" s="48">
        <v>21937</v>
      </c>
      <c r="C559" s="48"/>
      <c r="D559" s="49" t="s">
        <v>630</v>
      </c>
      <c r="E559" s="49" t="s">
        <v>15</v>
      </c>
      <c r="F559" s="48" t="s">
        <v>346</v>
      </c>
      <c r="G559" s="49" t="s">
        <v>206</v>
      </c>
      <c r="H559" s="49" t="s">
        <v>756</v>
      </c>
      <c r="I559" s="5">
        <v>24.779640000000001</v>
      </c>
      <c r="J559" s="120">
        <f t="shared" si="21"/>
        <v>24.779640000000001</v>
      </c>
      <c r="K559" s="550"/>
    </row>
    <row r="560" spans="1:11" ht="12" customHeight="1" thickBot="1" x14ac:dyDescent="0.25">
      <c r="A560" s="121" t="s">
        <v>0</v>
      </c>
      <c r="B560" s="122">
        <v>21938</v>
      </c>
      <c r="C560" s="122"/>
      <c r="D560" s="124" t="s">
        <v>631</v>
      </c>
      <c r="E560" s="124" t="s">
        <v>17</v>
      </c>
      <c r="F560" s="122" t="s">
        <v>346</v>
      </c>
      <c r="G560" s="124" t="s">
        <v>206</v>
      </c>
      <c r="H560" s="124" t="s">
        <v>756</v>
      </c>
      <c r="I560" s="5">
        <v>22.430399999999999</v>
      </c>
      <c r="J560" s="126">
        <f t="shared" si="21"/>
        <v>22.430399999999999</v>
      </c>
      <c r="K560" s="550"/>
    </row>
    <row r="561" spans="1:11" ht="12" customHeight="1" x14ac:dyDescent="0.2">
      <c r="A561" s="101" t="s">
        <v>966</v>
      </c>
      <c r="B561" s="102"/>
      <c r="C561" s="102"/>
      <c r="D561" s="102"/>
      <c r="E561" s="102"/>
      <c r="F561" s="102"/>
      <c r="G561" s="102"/>
      <c r="H561" s="102"/>
      <c r="I561" s="102"/>
      <c r="J561" s="103"/>
    </row>
    <row r="562" spans="1:11" ht="12" customHeight="1" x14ac:dyDescent="0.2">
      <c r="A562" s="93" t="s">
        <v>0</v>
      </c>
      <c r="B562" s="48">
        <v>22011</v>
      </c>
      <c r="C562" s="48"/>
      <c r="D562" s="49" t="s">
        <v>632</v>
      </c>
      <c r="E562" s="49" t="s">
        <v>2</v>
      </c>
      <c r="F562" s="48" t="s">
        <v>346</v>
      </c>
      <c r="G562" s="49" t="s">
        <v>953</v>
      </c>
      <c r="H562" s="49" t="s">
        <v>757</v>
      </c>
      <c r="I562" s="5">
        <v>43.776000000000003</v>
      </c>
      <c r="J562" s="120">
        <f t="shared" ref="J562:J631" si="22">IF(I562="on request","on request",IF(F562="Box",I562*(100%-$C$3),IF(F562="License",I562*(100%-$C$4),IF(F562="Renewal",I562*(100%-$C$5),IF(F562="ESD",I562*(100%-$C$3),I562)))))</f>
        <v>43.776000000000003</v>
      </c>
      <c r="K562" s="550"/>
    </row>
    <row r="563" spans="1:11" ht="12" customHeight="1" x14ac:dyDescent="0.2">
      <c r="A563" s="93" t="s">
        <v>0</v>
      </c>
      <c r="B563" s="48">
        <v>22012</v>
      </c>
      <c r="C563" s="48"/>
      <c r="D563" s="49" t="s">
        <v>633</v>
      </c>
      <c r="E563" s="49" t="s">
        <v>5</v>
      </c>
      <c r="F563" s="48" t="s">
        <v>346</v>
      </c>
      <c r="G563" s="49" t="s">
        <v>953</v>
      </c>
      <c r="H563" s="49" t="s">
        <v>757</v>
      </c>
      <c r="I563" s="5">
        <v>28.8</v>
      </c>
      <c r="J563" s="120">
        <f t="shared" si="22"/>
        <v>28.8</v>
      </c>
      <c r="K563" s="550"/>
    </row>
    <row r="564" spans="1:11" ht="12" customHeight="1" x14ac:dyDescent="0.2">
      <c r="A564" s="93" t="s">
        <v>0</v>
      </c>
      <c r="B564" s="48">
        <v>22013</v>
      </c>
      <c r="C564" s="48"/>
      <c r="D564" s="49" t="s">
        <v>634</v>
      </c>
      <c r="E564" s="49" t="s">
        <v>7</v>
      </c>
      <c r="F564" s="48" t="s">
        <v>346</v>
      </c>
      <c r="G564" s="49" t="s">
        <v>953</v>
      </c>
      <c r="H564" s="49" t="s">
        <v>757</v>
      </c>
      <c r="I564" s="5">
        <v>21.888000000000002</v>
      </c>
      <c r="J564" s="120">
        <f t="shared" si="22"/>
        <v>21.888000000000002</v>
      </c>
      <c r="K564" s="550"/>
    </row>
    <row r="565" spans="1:11" ht="12" customHeight="1" x14ac:dyDescent="0.2">
      <c r="A565" s="93" t="s">
        <v>0</v>
      </c>
      <c r="B565" s="48">
        <v>22014</v>
      </c>
      <c r="C565" s="48"/>
      <c r="D565" s="49" t="s">
        <v>635</v>
      </c>
      <c r="E565" s="49" t="s">
        <v>9</v>
      </c>
      <c r="F565" s="48" t="s">
        <v>346</v>
      </c>
      <c r="G565" s="49" t="s">
        <v>953</v>
      </c>
      <c r="H565" s="49" t="s">
        <v>757</v>
      </c>
      <c r="I565" s="5">
        <v>19.584</v>
      </c>
      <c r="J565" s="120">
        <f t="shared" si="22"/>
        <v>19.584</v>
      </c>
      <c r="K565" s="550"/>
    </row>
    <row r="566" spans="1:11" ht="12" customHeight="1" x14ac:dyDescent="0.2">
      <c r="A566" s="93" t="s">
        <v>0</v>
      </c>
      <c r="B566" s="48">
        <v>22015</v>
      </c>
      <c r="C566" s="48"/>
      <c r="D566" s="49" t="s">
        <v>636</v>
      </c>
      <c r="E566" s="49" t="s">
        <v>11</v>
      </c>
      <c r="F566" s="48" t="s">
        <v>346</v>
      </c>
      <c r="G566" s="49" t="s">
        <v>953</v>
      </c>
      <c r="H566" s="49" t="s">
        <v>757</v>
      </c>
      <c r="I566" s="5">
        <v>16.128</v>
      </c>
      <c r="J566" s="120">
        <f t="shared" si="22"/>
        <v>16.128</v>
      </c>
      <c r="K566" s="550"/>
    </row>
    <row r="567" spans="1:11" ht="12" customHeight="1" x14ac:dyDescent="0.2">
      <c r="A567" s="93" t="s">
        <v>0</v>
      </c>
      <c r="B567" s="48">
        <v>22016</v>
      </c>
      <c r="C567" s="48"/>
      <c r="D567" s="49" t="s">
        <v>637</v>
      </c>
      <c r="E567" s="49" t="s">
        <v>440</v>
      </c>
      <c r="F567" s="48" t="s">
        <v>346</v>
      </c>
      <c r="G567" s="49" t="s">
        <v>953</v>
      </c>
      <c r="H567" s="49" t="s">
        <v>757</v>
      </c>
      <c r="I567" s="5">
        <v>13.823999999999998</v>
      </c>
      <c r="J567" s="120">
        <f t="shared" si="22"/>
        <v>13.823999999999998</v>
      </c>
      <c r="K567" s="550"/>
    </row>
    <row r="568" spans="1:11" ht="12" customHeight="1" x14ac:dyDescent="0.2">
      <c r="A568" s="93" t="s">
        <v>0</v>
      </c>
      <c r="B568" s="48">
        <v>22017</v>
      </c>
      <c r="C568" s="48"/>
      <c r="D568" s="49" t="s">
        <v>638</v>
      </c>
      <c r="E568" s="49" t="s">
        <v>15</v>
      </c>
      <c r="F568" s="48" t="s">
        <v>346</v>
      </c>
      <c r="G568" s="49" t="s">
        <v>953</v>
      </c>
      <c r="H568" s="49" t="s">
        <v>757</v>
      </c>
      <c r="I568" s="5">
        <v>11.52</v>
      </c>
      <c r="J568" s="120">
        <f t="shared" si="22"/>
        <v>11.52</v>
      </c>
      <c r="K568" s="550"/>
    </row>
    <row r="569" spans="1:11" ht="12" customHeight="1" x14ac:dyDescent="0.2">
      <c r="A569" s="93" t="s">
        <v>0</v>
      </c>
      <c r="B569" s="48">
        <v>22018</v>
      </c>
      <c r="C569" s="48"/>
      <c r="D569" s="49" t="s">
        <v>639</v>
      </c>
      <c r="E569" s="49" t="s">
        <v>17</v>
      </c>
      <c r="F569" s="48" t="s">
        <v>346</v>
      </c>
      <c r="G569" s="49" t="s">
        <v>953</v>
      </c>
      <c r="H569" s="49" t="s">
        <v>757</v>
      </c>
      <c r="I569" s="5">
        <v>10.368</v>
      </c>
      <c r="J569" s="120">
        <f t="shared" si="22"/>
        <v>10.368</v>
      </c>
      <c r="K569" s="550"/>
    </row>
    <row r="570" spans="1:11" ht="12" customHeight="1" x14ac:dyDescent="0.2">
      <c r="A570" s="93" t="s">
        <v>0</v>
      </c>
      <c r="B570" s="48">
        <v>22021</v>
      </c>
      <c r="C570" s="48"/>
      <c r="D570" s="49" t="s">
        <v>640</v>
      </c>
      <c r="E570" s="49" t="s">
        <v>2</v>
      </c>
      <c r="F570" s="48" t="s">
        <v>346</v>
      </c>
      <c r="G570" s="49" t="s">
        <v>953</v>
      </c>
      <c r="H570" s="49" t="s">
        <v>754</v>
      </c>
      <c r="I570" s="5">
        <v>68.256</v>
      </c>
      <c r="J570" s="120">
        <f t="shared" si="22"/>
        <v>68.256</v>
      </c>
      <c r="K570" s="550"/>
    </row>
    <row r="571" spans="1:11" ht="12" customHeight="1" x14ac:dyDescent="0.2">
      <c r="A571" s="93" t="s">
        <v>0</v>
      </c>
      <c r="B571" s="48">
        <v>22022</v>
      </c>
      <c r="C571" s="48"/>
      <c r="D571" s="49" t="s">
        <v>641</v>
      </c>
      <c r="E571" s="49" t="s">
        <v>5</v>
      </c>
      <c r="F571" s="48" t="s">
        <v>346</v>
      </c>
      <c r="G571" s="49" t="s">
        <v>953</v>
      </c>
      <c r="H571" s="49" t="s">
        <v>754</v>
      </c>
      <c r="I571" s="5">
        <v>52.790400000000005</v>
      </c>
      <c r="J571" s="120">
        <f t="shared" si="22"/>
        <v>52.790400000000005</v>
      </c>
      <c r="K571" s="550"/>
    </row>
    <row r="572" spans="1:11" ht="12" customHeight="1" x14ac:dyDescent="0.2">
      <c r="A572" s="93" t="s">
        <v>0</v>
      </c>
      <c r="B572" s="48">
        <v>22023</v>
      </c>
      <c r="C572" s="48"/>
      <c r="D572" s="49" t="s">
        <v>642</v>
      </c>
      <c r="E572" s="49" t="s">
        <v>7</v>
      </c>
      <c r="F572" s="48" t="s">
        <v>346</v>
      </c>
      <c r="G572" s="49" t="s">
        <v>953</v>
      </c>
      <c r="H572" s="49" t="s">
        <v>754</v>
      </c>
      <c r="I572" s="5">
        <v>42.059520000000006</v>
      </c>
      <c r="J572" s="120">
        <f t="shared" si="22"/>
        <v>42.059520000000006</v>
      </c>
      <c r="K572" s="550"/>
    </row>
    <row r="573" spans="1:11" ht="12" customHeight="1" x14ac:dyDescent="0.2">
      <c r="A573" s="93" t="s">
        <v>0</v>
      </c>
      <c r="B573" s="48">
        <v>22024</v>
      </c>
      <c r="C573" s="48"/>
      <c r="D573" s="49" t="s">
        <v>643</v>
      </c>
      <c r="E573" s="49" t="s">
        <v>9</v>
      </c>
      <c r="F573" s="48" t="s">
        <v>346</v>
      </c>
      <c r="G573" s="49" t="s">
        <v>953</v>
      </c>
      <c r="H573" s="49" t="s">
        <v>754</v>
      </c>
      <c r="I573" s="5">
        <v>38.482559999999999</v>
      </c>
      <c r="J573" s="120">
        <f t="shared" si="22"/>
        <v>38.482559999999999</v>
      </c>
      <c r="K573" s="550"/>
    </row>
    <row r="574" spans="1:11" ht="12" customHeight="1" x14ac:dyDescent="0.2">
      <c r="A574" s="93" t="s">
        <v>0</v>
      </c>
      <c r="B574" s="48">
        <v>22025</v>
      </c>
      <c r="C574" s="48"/>
      <c r="D574" s="49" t="s">
        <v>644</v>
      </c>
      <c r="E574" s="49" t="s">
        <v>11</v>
      </c>
      <c r="F574" s="48" t="s">
        <v>346</v>
      </c>
      <c r="G574" s="49" t="s">
        <v>953</v>
      </c>
      <c r="H574" s="49" t="s">
        <v>754</v>
      </c>
      <c r="I574" s="5">
        <v>31.452479999999998</v>
      </c>
      <c r="J574" s="120">
        <f t="shared" si="22"/>
        <v>31.452479999999998</v>
      </c>
      <c r="K574" s="550"/>
    </row>
    <row r="575" spans="1:11" ht="12" customHeight="1" x14ac:dyDescent="0.2">
      <c r="A575" s="93" t="s">
        <v>0</v>
      </c>
      <c r="B575" s="48">
        <v>22026</v>
      </c>
      <c r="C575" s="48"/>
      <c r="D575" s="49" t="s">
        <v>645</v>
      </c>
      <c r="E575" s="49" t="s">
        <v>440</v>
      </c>
      <c r="F575" s="48" t="s">
        <v>346</v>
      </c>
      <c r="G575" s="49" t="s">
        <v>953</v>
      </c>
      <c r="H575" s="49" t="s">
        <v>754</v>
      </c>
      <c r="I575" s="5">
        <v>25.828991999999996</v>
      </c>
      <c r="J575" s="120">
        <f t="shared" si="22"/>
        <v>25.828991999999996</v>
      </c>
      <c r="K575" s="550"/>
    </row>
    <row r="576" spans="1:11" ht="12" customHeight="1" x14ac:dyDescent="0.2">
      <c r="A576" s="93" t="s">
        <v>0</v>
      </c>
      <c r="B576" s="48">
        <v>22027</v>
      </c>
      <c r="C576" s="48"/>
      <c r="D576" s="49" t="s">
        <v>646</v>
      </c>
      <c r="E576" s="49" t="s">
        <v>15</v>
      </c>
      <c r="F576" s="48" t="s">
        <v>346</v>
      </c>
      <c r="G576" s="49" t="s">
        <v>953</v>
      </c>
      <c r="H576" s="49" t="s">
        <v>754</v>
      </c>
      <c r="I576" s="5">
        <v>21.928895999999998</v>
      </c>
      <c r="J576" s="120">
        <f t="shared" si="22"/>
        <v>21.928895999999998</v>
      </c>
      <c r="K576" s="550"/>
    </row>
    <row r="577" spans="1:11" ht="12" customHeight="1" x14ac:dyDescent="0.2">
      <c r="A577" s="93" t="s">
        <v>0</v>
      </c>
      <c r="B577" s="48">
        <v>22028</v>
      </c>
      <c r="C577" s="48"/>
      <c r="D577" s="49" t="s">
        <v>647</v>
      </c>
      <c r="E577" s="49" t="s">
        <v>17</v>
      </c>
      <c r="F577" s="48" t="s">
        <v>346</v>
      </c>
      <c r="G577" s="49" t="s">
        <v>953</v>
      </c>
      <c r="H577" s="49" t="s">
        <v>754</v>
      </c>
      <c r="I577" s="5">
        <v>19.278719999999996</v>
      </c>
      <c r="J577" s="120">
        <f t="shared" si="22"/>
        <v>19.278719999999996</v>
      </c>
      <c r="K577" s="550"/>
    </row>
    <row r="578" spans="1:11" ht="12" customHeight="1" x14ac:dyDescent="0.2">
      <c r="A578" s="93" t="s">
        <v>0</v>
      </c>
      <c r="B578" s="48">
        <v>22031</v>
      </c>
      <c r="C578" s="48"/>
      <c r="D578" s="49" t="s">
        <v>648</v>
      </c>
      <c r="E578" s="49" t="s">
        <v>2</v>
      </c>
      <c r="F578" s="48" t="s">
        <v>346</v>
      </c>
      <c r="G578" s="49" t="s">
        <v>953</v>
      </c>
      <c r="H578" s="49" t="s">
        <v>756</v>
      </c>
      <c r="I578" s="5">
        <v>86.616</v>
      </c>
      <c r="J578" s="120">
        <f t="shared" si="22"/>
        <v>86.616</v>
      </c>
      <c r="K578" s="550"/>
    </row>
    <row r="579" spans="1:11" ht="12" customHeight="1" x14ac:dyDescent="0.2">
      <c r="A579" s="93" t="s">
        <v>0</v>
      </c>
      <c r="B579" s="48">
        <v>22032</v>
      </c>
      <c r="C579" s="48"/>
      <c r="D579" s="49" t="s">
        <v>649</v>
      </c>
      <c r="E579" s="49" t="s">
        <v>5</v>
      </c>
      <c r="F579" s="48" t="s">
        <v>346</v>
      </c>
      <c r="G579" s="49" t="s">
        <v>953</v>
      </c>
      <c r="H579" s="49" t="s">
        <v>756</v>
      </c>
      <c r="I579" s="5">
        <v>70.783200000000008</v>
      </c>
      <c r="J579" s="120">
        <f t="shared" si="22"/>
        <v>70.783200000000008</v>
      </c>
      <c r="K579" s="550"/>
    </row>
    <row r="580" spans="1:11" ht="12" customHeight="1" x14ac:dyDescent="0.2">
      <c r="A580" s="93" t="s">
        <v>0</v>
      </c>
      <c r="B580" s="48">
        <v>22033</v>
      </c>
      <c r="C580" s="48"/>
      <c r="D580" s="49" t="s">
        <v>650</v>
      </c>
      <c r="E580" s="49" t="s">
        <v>7</v>
      </c>
      <c r="F580" s="48" t="s">
        <v>346</v>
      </c>
      <c r="G580" s="49" t="s">
        <v>953</v>
      </c>
      <c r="H580" s="49" t="s">
        <v>756</v>
      </c>
      <c r="I580" s="5">
        <v>57.188159999999996</v>
      </c>
      <c r="J580" s="120">
        <f t="shared" si="22"/>
        <v>57.188159999999996</v>
      </c>
      <c r="K580" s="550"/>
    </row>
    <row r="581" spans="1:11" ht="12" customHeight="1" x14ac:dyDescent="0.2">
      <c r="A581" s="93" t="s">
        <v>0</v>
      </c>
      <c r="B581" s="48">
        <v>22034</v>
      </c>
      <c r="C581" s="48"/>
      <c r="D581" s="49" t="s">
        <v>651</v>
      </c>
      <c r="E581" s="49" t="s">
        <v>9</v>
      </c>
      <c r="F581" s="48" t="s">
        <v>346</v>
      </c>
      <c r="G581" s="49" t="s">
        <v>953</v>
      </c>
      <c r="H581" s="49" t="s">
        <v>756</v>
      </c>
      <c r="I581" s="5">
        <v>52.656479999999988</v>
      </c>
      <c r="J581" s="120">
        <f t="shared" si="22"/>
        <v>52.656479999999988</v>
      </c>
      <c r="K581" s="550"/>
    </row>
    <row r="582" spans="1:11" ht="12" customHeight="1" x14ac:dyDescent="0.2">
      <c r="A582" s="93" t="s">
        <v>0</v>
      </c>
      <c r="B582" s="48">
        <v>22035</v>
      </c>
      <c r="C582" s="48"/>
      <c r="D582" s="49" t="s">
        <v>652</v>
      </c>
      <c r="E582" s="49" t="s">
        <v>11</v>
      </c>
      <c r="F582" s="48" t="s">
        <v>346</v>
      </c>
      <c r="G582" s="49" t="s">
        <v>953</v>
      </c>
      <c r="H582" s="49" t="s">
        <v>756</v>
      </c>
      <c r="I582" s="5">
        <v>42.945840000000004</v>
      </c>
      <c r="J582" s="120">
        <f t="shared" si="22"/>
        <v>42.945840000000004</v>
      </c>
      <c r="K582" s="550"/>
    </row>
    <row r="583" spans="1:11" ht="12" customHeight="1" x14ac:dyDescent="0.2">
      <c r="A583" s="93" t="s">
        <v>0</v>
      </c>
      <c r="B583" s="48">
        <v>22036</v>
      </c>
      <c r="C583" s="48"/>
      <c r="D583" s="49" t="s">
        <v>653</v>
      </c>
      <c r="E583" s="49" t="s">
        <v>440</v>
      </c>
      <c r="F583" s="48" t="s">
        <v>346</v>
      </c>
      <c r="G583" s="49" t="s">
        <v>953</v>
      </c>
      <c r="H583" s="49" t="s">
        <v>756</v>
      </c>
      <c r="I583" s="5">
        <v>34.832735999999997</v>
      </c>
      <c r="J583" s="120">
        <f t="shared" si="22"/>
        <v>34.832735999999997</v>
      </c>
      <c r="K583" s="550"/>
    </row>
    <row r="584" spans="1:11" ht="12" customHeight="1" x14ac:dyDescent="0.2">
      <c r="A584" s="93" t="s">
        <v>0</v>
      </c>
      <c r="B584" s="48">
        <v>22037</v>
      </c>
      <c r="C584" s="48"/>
      <c r="D584" s="49" t="s">
        <v>654</v>
      </c>
      <c r="E584" s="49" t="s">
        <v>15</v>
      </c>
      <c r="F584" s="48" t="s">
        <v>346</v>
      </c>
      <c r="G584" s="49" t="s">
        <v>953</v>
      </c>
      <c r="H584" s="49" t="s">
        <v>756</v>
      </c>
      <c r="I584" s="5">
        <v>29.735568000000001</v>
      </c>
      <c r="J584" s="120">
        <f t="shared" si="22"/>
        <v>29.735568000000001</v>
      </c>
      <c r="K584" s="550"/>
    </row>
    <row r="585" spans="1:11" ht="12" customHeight="1" thickBot="1" x14ac:dyDescent="0.25">
      <c r="A585" s="121" t="s">
        <v>0</v>
      </c>
      <c r="B585" s="122">
        <v>22038</v>
      </c>
      <c r="C585" s="122"/>
      <c r="D585" s="124" t="s">
        <v>655</v>
      </c>
      <c r="E585" s="124" t="s">
        <v>17</v>
      </c>
      <c r="F585" s="122" t="s">
        <v>346</v>
      </c>
      <c r="G585" s="124" t="s">
        <v>953</v>
      </c>
      <c r="H585" s="124" t="s">
        <v>756</v>
      </c>
      <c r="I585" s="5">
        <v>26.916479999999996</v>
      </c>
      <c r="J585" s="126">
        <f t="shared" si="22"/>
        <v>26.916479999999996</v>
      </c>
      <c r="K585" s="550"/>
    </row>
    <row r="586" spans="1:11" s="440" customFormat="1" ht="12" customHeight="1" x14ac:dyDescent="0.2">
      <c r="A586" s="571" t="s">
        <v>929</v>
      </c>
      <c r="B586" s="461"/>
      <c r="C586" s="461"/>
      <c r="D586" s="461"/>
      <c r="E586" s="461"/>
      <c r="F586" s="461"/>
      <c r="G586" s="461"/>
      <c r="H586" s="461"/>
      <c r="I586" s="461"/>
      <c r="J586" s="462"/>
      <c r="K586" s="546"/>
    </row>
    <row r="587" spans="1:11" ht="12" customHeight="1" x14ac:dyDescent="0.2">
      <c r="A587" s="438" t="s">
        <v>0</v>
      </c>
      <c r="B587" s="431">
        <v>20410</v>
      </c>
      <c r="C587" s="431"/>
      <c r="D587" s="430" t="s">
        <v>835</v>
      </c>
      <c r="E587" s="430" t="s">
        <v>836</v>
      </c>
      <c r="F587" s="431" t="s">
        <v>346</v>
      </c>
      <c r="G587" s="430" t="s">
        <v>109</v>
      </c>
      <c r="H587" s="565" t="s">
        <v>752</v>
      </c>
      <c r="I587" s="432">
        <v>395</v>
      </c>
      <c r="J587" s="463">
        <f t="shared" si="22"/>
        <v>395</v>
      </c>
      <c r="K587" s="550"/>
    </row>
    <row r="588" spans="1:11" ht="12" customHeight="1" x14ac:dyDescent="0.2">
      <c r="A588" s="436" t="s">
        <v>0</v>
      </c>
      <c r="B588" s="425">
        <v>20420</v>
      </c>
      <c r="C588" s="425"/>
      <c r="D588" s="424" t="s">
        <v>837</v>
      </c>
      <c r="E588" s="424" t="s">
        <v>836</v>
      </c>
      <c r="F588" s="425" t="s">
        <v>346</v>
      </c>
      <c r="G588" s="424" t="s">
        <v>109</v>
      </c>
      <c r="H588" s="565" t="s">
        <v>753</v>
      </c>
      <c r="I588" s="426">
        <v>578.75</v>
      </c>
      <c r="J588" s="463">
        <f t="shared" si="22"/>
        <v>578.75</v>
      </c>
      <c r="K588" s="550"/>
    </row>
    <row r="589" spans="1:11" ht="12" customHeight="1" x14ac:dyDescent="0.2">
      <c r="A589" s="436" t="s">
        <v>0</v>
      </c>
      <c r="B589" s="425">
        <v>20430</v>
      </c>
      <c r="C589" s="425"/>
      <c r="D589" s="424" t="s">
        <v>838</v>
      </c>
      <c r="E589" s="424" t="s">
        <v>836</v>
      </c>
      <c r="F589" s="425" t="s">
        <v>346</v>
      </c>
      <c r="G589" s="424" t="s">
        <v>109</v>
      </c>
      <c r="H589" s="565" t="s">
        <v>755</v>
      </c>
      <c r="I589" s="426">
        <v>762.5</v>
      </c>
      <c r="J589" s="463">
        <f t="shared" si="22"/>
        <v>762.5</v>
      </c>
      <c r="K589" s="550"/>
    </row>
    <row r="590" spans="1:11" ht="12" customHeight="1" x14ac:dyDescent="0.2">
      <c r="A590" s="439" t="s">
        <v>0</v>
      </c>
      <c r="B590" s="433">
        <v>20510</v>
      </c>
      <c r="C590" s="433"/>
      <c r="D590" s="434" t="s">
        <v>839</v>
      </c>
      <c r="E590" s="434" t="s">
        <v>836</v>
      </c>
      <c r="F590" s="433" t="s">
        <v>346</v>
      </c>
      <c r="G590" s="434" t="s">
        <v>950</v>
      </c>
      <c r="H590" s="565" t="s">
        <v>752</v>
      </c>
      <c r="I590" s="435">
        <v>449</v>
      </c>
      <c r="J590" s="463">
        <f t="shared" si="22"/>
        <v>449</v>
      </c>
      <c r="K590" s="550"/>
    </row>
    <row r="591" spans="1:11" ht="12" customHeight="1" x14ac:dyDescent="0.2">
      <c r="A591" s="439" t="s">
        <v>0</v>
      </c>
      <c r="B591" s="433">
        <v>20520</v>
      </c>
      <c r="C591" s="433"/>
      <c r="D591" s="434" t="s">
        <v>840</v>
      </c>
      <c r="E591" s="434" t="s">
        <v>836</v>
      </c>
      <c r="F591" s="433" t="s">
        <v>346</v>
      </c>
      <c r="G591" s="434" t="s">
        <v>950</v>
      </c>
      <c r="H591" s="565" t="s">
        <v>753</v>
      </c>
      <c r="I591" s="435">
        <v>710.75</v>
      </c>
      <c r="J591" s="463">
        <f t="shared" si="22"/>
        <v>710.75</v>
      </c>
      <c r="K591" s="550"/>
    </row>
    <row r="592" spans="1:11" ht="12" customHeight="1" x14ac:dyDescent="0.2">
      <c r="A592" s="439" t="s">
        <v>0</v>
      </c>
      <c r="B592" s="433">
        <v>20530</v>
      </c>
      <c r="C592" s="433"/>
      <c r="D592" s="434" t="s">
        <v>841</v>
      </c>
      <c r="E592" s="434" t="s">
        <v>836</v>
      </c>
      <c r="F592" s="433" t="s">
        <v>346</v>
      </c>
      <c r="G592" s="434" t="s">
        <v>950</v>
      </c>
      <c r="H592" s="565" t="s">
        <v>755</v>
      </c>
      <c r="I592" s="435">
        <v>972.5</v>
      </c>
      <c r="J592" s="463">
        <f t="shared" si="22"/>
        <v>972.5</v>
      </c>
      <c r="K592" s="550"/>
    </row>
    <row r="593" spans="1:11" ht="12" customHeight="1" x14ac:dyDescent="0.2">
      <c r="A593" s="439" t="s">
        <v>0</v>
      </c>
      <c r="B593" s="433">
        <v>21010</v>
      </c>
      <c r="C593" s="433"/>
      <c r="D593" s="434" t="s">
        <v>842</v>
      </c>
      <c r="E593" s="434" t="s">
        <v>836</v>
      </c>
      <c r="F593" s="433" t="s">
        <v>346</v>
      </c>
      <c r="G593" s="434" t="s">
        <v>953</v>
      </c>
      <c r="H593" s="565" t="s">
        <v>752</v>
      </c>
      <c r="I593" s="435">
        <v>499</v>
      </c>
      <c r="J593" s="463">
        <f t="shared" si="22"/>
        <v>499</v>
      </c>
      <c r="K593" s="550"/>
    </row>
    <row r="594" spans="1:11" ht="12" customHeight="1" x14ac:dyDescent="0.2">
      <c r="A594" s="439" t="s">
        <v>0</v>
      </c>
      <c r="B594" s="433">
        <v>21020</v>
      </c>
      <c r="C594" s="433"/>
      <c r="D594" s="434" t="s">
        <v>843</v>
      </c>
      <c r="E594" s="434" t="s">
        <v>836</v>
      </c>
      <c r="F594" s="433" t="s">
        <v>346</v>
      </c>
      <c r="G594" s="434" t="s">
        <v>953</v>
      </c>
      <c r="H594" s="565" t="s">
        <v>753</v>
      </c>
      <c r="I594" s="435">
        <v>760.75</v>
      </c>
      <c r="J594" s="463">
        <f t="shared" si="22"/>
        <v>760.75</v>
      </c>
      <c r="K594" s="550"/>
    </row>
    <row r="595" spans="1:11" ht="12" customHeight="1" x14ac:dyDescent="0.2">
      <c r="A595" s="439" t="s">
        <v>0</v>
      </c>
      <c r="B595" s="433">
        <v>21030</v>
      </c>
      <c r="C595" s="433"/>
      <c r="D595" s="434" t="s">
        <v>844</v>
      </c>
      <c r="E595" s="434" t="s">
        <v>836</v>
      </c>
      <c r="F595" s="433" t="s">
        <v>346</v>
      </c>
      <c r="G595" s="434" t="s">
        <v>953</v>
      </c>
      <c r="H595" s="565" t="s">
        <v>755</v>
      </c>
      <c r="I595" s="435">
        <v>1022.5</v>
      </c>
      <c r="J595" s="463">
        <f t="shared" si="22"/>
        <v>1022.5</v>
      </c>
      <c r="K595" s="550"/>
    </row>
    <row r="596" spans="1:11" s="440" customFormat="1" ht="12" customHeight="1" x14ac:dyDescent="0.2">
      <c r="A596" s="458" t="s">
        <v>0</v>
      </c>
      <c r="B596" s="496">
        <v>22110</v>
      </c>
      <c r="C596" s="447"/>
      <c r="D596" s="464" t="s">
        <v>882</v>
      </c>
      <c r="E596" s="468" t="s">
        <v>836</v>
      </c>
      <c r="F596" s="467" t="s">
        <v>346</v>
      </c>
      <c r="G596" s="470" t="s">
        <v>678</v>
      </c>
      <c r="H596" s="565" t="s">
        <v>752</v>
      </c>
      <c r="I596" s="471">
        <v>395</v>
      </c>
      <c r="J596" s="475">
        <f t="shared" si="22"/>
        <v>395</v>
      </c>
      <c r="K596" s="550"/>
    </row>
    <row r="597" spans="1:11" s="440" customFormat="1" ht="12" customHeight="1" x14ac:dyDescent="0.2">
      <c r="A597" s="458" t="s">
        <v>0</v>
      </c>
      <c r="B597" s="496">
        <v>22120</v>
      </c>
      <c r="C597" s="447"/>
      <c r="D597" s="465" t="s">
        <v>883</v>
      </c>
      <c r="E597" s="468" t="s">
        <v>836</v>
      </c>
      <c r="F597" s="467" t="s">
        <v>346</v>
      </c>
      <c r="G597" s="470" t="s">
        <v>678</v>
      </c>
      <c r="H597" s="565" t="s">
        <v>753</v>
      </c>
      <c r="I597" s="471">
        <v>790</v>
      </c>
      <c r="J597" s="475">
        <f t="shared" si="22"/>
        <v>790</v>
      </c>
      <c r="K597" s="550"/>
    </row>
    <row r="598" spans="1:11" s="440" customFormat="1" ht="12" customHeight="1" x14ac:dyDescent="0.2">
      <c r="A598" s="458" t="s">
        <v>0</v>
      </c>
      <c r="B598" s="496">
        <v>22130</v>
      </c>
      <c r="C598" s="447"/>
      <c r="D598" s="466" t="s">
        <v>884</v>
      </c>
      <c r="E598" s="468" t="s">
        <v>836</v>
      </c>
      <c r="F598" s="467" t="s">
        <v>346</v>
      </c>
      <c r="G598" s="470" t="s">
        <v>678</v>
      </c>
      <c r="H598" s="565" t="s">
        <v>755</v>
      </c>
      <c r="I598" s="471">
        <v>1185</v>
      </c>
      <c r="J598" s="475">
        <f t="shared" si="22"/>
        <v>1185</v>
      </c>
      <c r="K598" s="550"/>
    </row>
    <row r="599" spans="1:11" ht="12" customHeight="1" x14ac:dyDescent="0.2">
      <c r="A599" s="436" t="s">
        <v>0</v>
      </c>
      <c r="B599" s="425">
        <v>20610</v>
      </c>
      <c r="C599" s="425"/>
      <c r="D599" s="424" t="s">
        <v>845</v>
      </c>
      <c r="E599" s="424" t="s">
        <v>836</v>
      </c>
      <c r="F599" s="425" t="s">
        <v>346</v>
      </c>
      <c r="G599" s="424" t="s">
        <v>303</v>
      </c>
      <c r="H599" s="565" t="s">
        <v>776</v>
      </c>
      <c r="I599" s="426">
        <v>295</v>
      </c>
      <c r="J599" s="463">
        <f t="shared" si="22"/>
        <v>295</v>
      </c>
      <c r="K599" s="550"/>
    </row>
    <row r="600" spans="1:11" ht="12" customHeight="1" x14ac:dyDescent="0.2">
      <c r="A600" s="436" t="s">
        <v>0</v>
      </c>
      <c r="B600" s="425">
        <v>20620</v>
      </c>
      <c r="C600" s="425"/>
      <c r="D600" s="424" t="s">
        <v>846</v>
      </c>
      <c r="E600" s="424" t="s">
        <v>836</v>
      </c>
      <c r="F600" s="425" t="s">
        <v>346</v>
      </c>
      <c r="G600" s="424" t="s">
        <v>303</v>
      </c>
      <c r="H600" s="565" t="s">
        <v>777</v>
      </c>
      <c r="I600" s="426">
        <v>441.25</v>
      </c>
      <c r="J600" s="463">
        <f t="shared" si="22"/>
        <v>441.25</v>
      </c>
      <c r="K600" s="550"/>
    </row>
    <row r="601" spans="1:11" ht="12" customHeight="1" x14ac:dyDescent="0.2">
      <c r="A601" s="436" t="s">
        <v>0</v>
      </c>
      <c r="B601" s="425">
        <v>20630</v>
      </c>
      <c r="C601" s="425"/>
      <c r="D601" s="424" t="s">
        <v>847</v>
      </c>
      <c r="E601" s="424" t="s">
        <v>836</v>
      </c>
      <c r="F601" s="425" t="s">
        <v>346</v>
      </c>
      <c r="G601" s="424" t="s">
        <v>303</v>
      </c>
      <c r="H601" s="565" t="s">
        <v>778</v>
      </c>
      <c r="I601" s="426">
        <v>587.5</v>
      </c>
      <c r="J601" s="463">
        <f t="shared" si="22"/>
        <v>587.5</v>
      </c>
      <c r="K601" s="550"/>
    </row>
    <row r="602" spans="1:11" ht="12" customHeight="1" x14ac:dyDescent="0.2">
      <c r="A602" s="436" t="s">
        <v>0</v>
      </c>
      <c r="B602" s="425">
        <v>20010</v>
      </c>
      <c r="C602" s="425"/>
      <c r="D602" s="424" t="s">
        <v>848</v>
      </c>
      <c r="E602" s="424" t="s">
        <v>836</v>
      </c>
      <c r="F602" s="425" t="s">
        <v>346</v>
      </c>
      <c r="G602" s="424" t="s">
        <v>348</v>
      </c>
      <c r="H602" s="566" t="s">
        <v>767</v>
      </c>
      <c r="I602" s="426">
        <v>295</v>
      </c>
      <c r="J602" s="463">
        <f t="shared" si="22"/>
        <v>295</v>
      </c>
      <c r="K602" s="550"/>
    </row>
    <row r="603" spans="1:11" ht="12" customHeight="1" x14ac:dyDescent="0.2">
      <c r="A603" s="436" t="s">
        <v>0</v>
      </c>
      <c r="B603" s="425">
        <v>20020</v>
      </c>
      <c r="C603" s="425"/>
      <c r="D603" s="424" t="s">
        <v>849</v>
      </c>
      <c r="E603" s="424" t="s">
        <v>836</v>
      </c>
      <c r="F603" s="425" t="s">
        <v>346</v>
      </c>
      <c r="G603" s="424" t="s">
        <v>348</v>
      </c>
      <c r="H603" s="566" t="s">
        <v>768</v>
      </c>
      <c r="I603" s="426">
        <v>441.25</v>
      </c>
      <c r="J603" s="463">
        <f t="shared" si="22"/>
        <v>441.25</v>
      </c>
      <c r="K603" s="550"/>
    </row>
    <row r="604" spans="1:11" ht="12" customHeight="1" x14ac:dyDescent="0.2">
      <c r="A604" s="436" t="s">
        <v>0</v>
      </c>
      <c r="B604" s="425">
        <v>20030</v>
      </c>
      <c r="C604" s="425"/>
      <c r="D604" s="424" t="s">
        <v>850</v>
      </c>
      <c r="E604" s="424" t="s">
        <v>836</v>
      </c>
      <c r="F604" s="425" t="s">
        <v>346</v>
      </c>
      <c r="G604" s="424" t="s">
        <v>348</v>
      </c>
      <c r="H604" s="566" t="s">
        <v>769</v>
      </c>
      <c r="I604" s="426">
        <v>587.5</v>
      </c>
      <c r="J604" s="463">
        <f t="shared" si="22"/>
        <v>587.5</v>
      </c>
      <c r="K604" s="550"/>
    </row>
    <row r="605" spans="1:11" ht="12" customHeight="1" x14ac:dyDescent="0.2">
      <c r="A605" s="436" t="s">
        <v>0</v>
      </c>
      <c r="B605" s="425">
        <v>20110</v>
      </c>
      <c r="C605" s="425"/>
      <c r="D605" s="424" t="s">
        <v>851</v>
      </c>
      <c r="E605" s="424" t="s">
        <v>836</v>
      </c>
      <c r="F605" s="425" t="s">
        <v>346</v>
      </c>
      <c r="G605" s="424" t="s">
        <v>349</v>
      </c>
      <c r="H605" s="566" t="s">
        <v>767</v>
      </c>
      <c r="I605" s="426">
        <v>350</v>
      </c>
      <c r="J605" s="463">
        <f t="shared" si="22"/>
        <v>350</v>
      </c>
      <c r="K605" s="550"/>
    </row>
    <row r="606" spans="1:11" ht="12" customHeight="1" x14ac:dyDescent="0.2">
      <c r="A606" s="436" t="s">
        <v>0</v>
      </c>
      <c r="B606" s="425">
        <v>20120</v>
      </c>
      <c r="C606" s="425"/>
      <c r="D606" s="424" t="s">
        <v>852</v>
      </c>
      <c r="E606" s="424" t="s">
        <v>836</v>
      </c>
      <c r="F606" s="425" t="s">
        <v>346</v>
      </c>
      <c r="G606" s="424" t="s">
        <v>349</v>
      </c>
      <c r="H606" s="566" t="s">
        <v>768</v>
      </c>
      <c r="I606" s="426">
        <v>533.75</v>
      </c>
      <c r="J606" s="463">
        <f t="shared" si="22"/>
        <v>533.75</v>
      </c>
      <c r="K606" s="550"/>
    </row>
    <row r="607" spans="1:11" ht="12" customHeight="1" x14ac:dyDescent="0.2">
      <c r="A607" s="436" t="s">
        <v>0</v>
      </c>
      <c r="B607" s="425">
        <v>20130</v>
      </c>
      <c r="C607" s="425"/>
      <c r="D607" s="424" t="s">
        <v>853</v>
      </c>
      <c r="E607" s="424" t="s">
        <v>836</v>
      </c>
      <c r="F607" s="425" t="s">
        <v>346</v>
      </c>
      <c r="G607" s="424" t="s">
        <v>349</v>
      </c>
      <c r="H607" s="566" t="s">
        <v>769</v>
      </c>
      <c r="I607" s="426">
        <v>717.5</v>
      </c>
      <c r="J607" s="463">
        <f t="shared" si="22"/>
        <v>717.5</v>
      </c>
      <c r="K607" s="550"/>
    </row>
    <row r="608" spans="1:11" ht="12" customHeight="1" x14ac:dyDescent="0.2">
      <c r="A608" s="436" t="s">
        <v>0</v>
      </c>
      <c r="B608" s="425">
        <v>21710</v>
      </c>
      <c r="C608" s="425"/>
      <c r="D608" s="424" t="s">
        <v>854</v>
      </c>
      <c r="E608" s="424" t="s">
        <v>836</v>
      </c>
      <c r="F608" s="425" t="s">
        <v>346</v>
      </c>
      <c r="G608" s="424" t="s">
        <v>350</v>
      </c>
      <c r="H608" s="566" t="s">
        <v>767</v>
      </c>
      <c r="I608" s="426">
        <v>395</v>
      </c>
      <c r="J608" s="463">
        <f t="shared" si="22"/>
        <v>395</v>
      </c>
      <c r="K608" s="550"/>
    </row>
    <row r="609" spans="1:11" ht="12" customHeight="1" x14ac:dyDescent="0.2">
      <c r="A609" s="436" t="s">
        <v>0</v>
      </c>
      <c r="B609" s="425">
        <v>21720</v>
      </c>
      <c r="C609" s="425"/>
      <c r="D609" s="424" t="s">
        <v>855</v>
      </c>
      <c r="E609" s="424" t="s">
        <v>836</v>
      </c>
      <c r="F609" s="425" t="s">
        <v>346</v>
      </c>
      <c r="G609" s="424" t="s">
        <v>350</v>
      </c>
      <c r="H609" s="566" t="s">
        <v>768</v>
      </c>
      <c r="I609" s="426">
        <v>578.75</v>
      </c>
      <c r="J609" s="463">
        <f t="shared" si="22"/>
        <v>578.75</v>
      </c>
      <c r="K609" s="550"/>
    </row>
    <row r="610" spans="1:11" ht="12" customHeight="1" thickBot="1" x14ac:dyDescent="0.25">
      <c r="A610" s="437" t="s">
        <v>0</v>
      </c>
      <c r="B610" s="427">
        <v>21730</v>
      </c>
      <c r="C610" s="427"/>
      <c r="D610" s="428" t="s">
        <v>856</v>
      </c>
      <c r="E610" s="428" t="s">
        <v>836</v>
      </c>
      <c r="F610" s="427" t="s">
        <v>346</v>
      </c>
      <c r="G610" s="428" t="s">
        <v>350</v>
      </c>
      <c r="H610" s="567" t="s">
        <v>769</v>
      </c>
      <c r="I610" s="429">
        <v>762.5</v>
      </c>
      <c r="J610" s="463">
        <f t="shared" si="22"/>
        <v>762.5</v>
      </c>
      <c r="K610" s="550"/>
    </row>
    <row r="611" spans="1:11" s="440" customFormat="1" ht="12" customHeight="1" x14ac:dyDescent="0.2">
      <c r="A611" s="571" t="s">
        <v>930</v>
      </c>
      <c r="B611" s="461"/>
      <c r="C611" s="461"/>
      <c r="D611" s="461"/>
      <c r="E611" s="461"/>
      <c r="F611" s="461"/>
      <c r="G611" s="461"/>
      <c r="H611" s="461"/>
      <c r="I611" s="461"/>
      <c r="J611" s="462"/>
      <c r="K611" s="546"/>
    </row>
    <row r="612" spans="1:11" ht="12" customHeight="1" x14ac:dyDescent="0.2">
      <c r="A612" s="456" t="s">
        <v>0</v>
      </c>
      <c r="B612" s="442">
        <v>20460</v>
      </c>
      <c r="C612" s="442"/>
      <c r="D612" s="443" t="s">
        <v>857</v>
      </c>
      <c r="E612" s="443" t="s">
        <v>858</v>
      </c>
      <c r="F612" s="454" t="s">
        <v>347</v>
      </c>
      <c r="G612" s="441" t="s">
        <v>109</v>
      </c>
      <c r="H612" s="568" t="s">
        <v>758</v>
      </c>
      <c r="I612" s="451">
        <v>245</v>
      </c>
      <c r="J612" s="448">
        <f t="shared" si="22"/>
        <v>245</v>
      </c>
      <c r="K612" s="550"/>
    </row>
    <row r="613" spans="1:11" ht="12" customHeight="1" x14ac:dyDescent="0.2">
      <c r="A613" s="456" t="s">
        <v>0</v>
      </c>
      <c r="B613" s="442">
        <v>20470</v>
      </c>
      <c r="C613" s="442"/>
      <c r="D613" s="443" t="s">
        <v>859</v>
      </c>
      <c r="E613" s="443" t="s">
        <v>858</v>
      </c>
      <c r="F613" s="454" t="s">
        <v>347</v>
      </c>
      <c r="G613" s="441" t="s">
        <v>109</v>
      </c>
      <c r="H613" s="568" t="s">
        <v>759</v>
      </c>
      <c r="I613" s="451">
        <v>428.75</v>
      </c>
      <c r="J613" s="448">
        <f t="shared" si="22"/>
        <v>428.75</v>
      </c>
      <c r="K613" s="550"/>
    </row>
    <row r="614" spans="1:11" ht="12" customHeight="1" x14ac:dyDescent="0.2">
      <c r="A614" s="456" t="s">
        <v>0</v>
      </c>
      <c r="B614" s="442">
        <v>20480</v>
      </c>
      <c r="C614" s="442"/>
      <c r="D614" s="443" t="s">
        <v>860</v>
      </c>
      <c r="E614" s="443" t="s">
        <v>858</v>
      </c>
      <c r="F614" s="454" t="s">
        <v>347</v>
      </c>
      <c r="G614" s="441" t="s">
        <v>109</v>
      </c>
      <c r="H614" s="568" t="s">
        <v>760</v>
      </c>
      <c r="I614" s="451">
        <v>612.5</v>
      </c>
      <c r="J614" s="448">
        <f t="shared" si="22"/>
        <v>612.5</v>
      </c>
      <c r="K614" s="550"/>
    </row>
    <row r="615" spans="1:11" ht="12" customHeight="1" x14ac:dyDescent="0.2">
      <c r="A615" s="459" t="s">
        <v>0</v>
      </c>
      <c r="B615" s="449">
        <v>20560</v>
      </c>
      <c r="C615" s="449"/>
      <c r="D615" s="443" t="s">
        <v>861</v>
      </c>
      <c r="E615" s="443" t="s">
        <v>858</v>
      </c>
      <c r="F615" s="454" t="s">
        <v>347</v>
      </c>
      <c r="G615" s="450" t="s">
        <v>950</v>
      </c>
      <c r="H615" s="568" t="s">
        <v>758</v>
      </c>
      <c r="I615" s="453">
        <v>295</v>
      </c>
      <c r="J615" s="448">
        <f t="shared" si="22"/>
        <v>295</v>
      </c>
      <c r="K615" s="550"/>
    </row>
    <row r="616" spans="1:11" ht="12" customHeight="1" x14ac:dyDescent="0.2">
      <c r="A616" s="459" t="s">
        <v>0</v>
      </c>
      <c r="B616" s="449">
        <v>20570</v>
      </c>
      <c r="C616" s="449"/>
      <c r="D616" s="443" t="s">
        <v>862</v>
      </c>
      <c r="E616" s="443" t="s">
        <v>858</v>
      </c>
      <c r="F616" s="454" t="s">
        <v>347</v>
      </c>
      <c r="G616" s="450" t="s">
        <v>950</v>
      </c>
      <c r="H616" s="568" t="s">
        <v>759</v>
      </c>
      <c r="I616" s="453">
        <v>516.25</v>
      </c>
      <c r="J616" s="448">
        <f t="shared" si="22"/>
        <v>516.25</v>
      </c>
      <c r="K616" s="550"/>
    </row>
    <row r="617" spans="1:11" ht="12" customHeight="1" x14ac:dyDescent="0.2">
      <c r="A617" s="459" t="s">
        <v>0</v>
      </c>
      <c r="B617" s="449">
        <v>20580</v>
      </c>
      <c r="C617" s="449"/>
      <c r="D617" s="443" t="s">
        <v>863</v>
      </c>
      <c r="E617" s="443" t="s">
        <v>858</v>
      </c>
      <c r="F617" s="454" t="s">
        <v>347</v>
      </c>
      <c r="G617" s="450" t="s">
        <v>950</v>
      </c>
      <c r="H617" s="568" t="s">
        <v>760</v>
      </c>
      <c r="I617" s="453">
        <v>737.5</v>
      </c>
      <c r="J617" s="448">
        <f t="shared" si="22"/>
        <v>737.5</v>
      </c>
      <c r="K617" s="550"/>
    </row>
    <row r="618" spans="1:11" ht="12" customHeight="1" x14ac:dyDescent="0.2">
      <c r="A618" s="459" t="s">
        <v>0</v>
      </c>
      <c r="B618" s="449">
        <v>20960</v>
      </c>
      <c r="C618" s="449"/>
      <c r="D618" s="443" t="s">
        <v>864</v>
      </c>
      <c r="E618" s="443" t="s">
        <v>858</v>
      </c>
      <c r="F618" s="454" t="s">
        <v>347</v>
      </c>
      <c r="G618" s="450" t="s">
        <v>206</v>
      </c>
      <c r="H618" s="568" t="s">
        <v>758</v>
      </c>
      <c r="I618" s="453">
        <v>295</v>
      </c>
      <c r="J618" s="448">
        <f t="shared" si="22"/>
        <v>295</v>
      </c>
      <c r="K618" s="550"/>
    </row>
    <row r="619" spans="1:11" ht="12" customHeight="1" x14ac:dyDescent="0.2">
      <c r="A619" s="459" t="s">
        <v>0</v>
      </c>
      <c r="B619" s="449">
        <v>20970</v>
      </c>
      <c r="C619" s="449"/>
      <c r="D619" s="443" t="s">
        <v>865</v>
      </c>
      <c r="E619" s="443" t="s">
        <v>858</v>
      </c>
      <c r="F619" s="454" t="s">
        <v>347</v>
      </c>
      <c r="G619" s="450" t="s">
        <v>206</v>
      </c>
      <c r="H619" s="568" t="s">
        <v>759</v>
      </c>
      <c r="I619" s="453">
        <v>516.25</v>
      </c>
      <c r="J619" s="448">
        <f t="shared" si="22"/>
        <v>516.25</v>
      </c>
      <c r="K619" s="550"/>
    </row>
    <row r="620" spans="1:11" ht="12" customHeight="1" x14ac:dyDescent="0.2">
      <c r="A620" s="459" t="s">
        <v>0</v>
      </c>
      <c r="B620" s="449">
        <v>20980</v>
      </c>
      <c r="C620" s="449"/>
      <c r="D620" s="443" t="s">
        <v>866</v>
      </c>
      <c r="E620" s="443" t="s">
        <v>858</v>
      </c>
      <c r="F620" s="454" t="s">
        <v>347</v>
      </c>
      <c r="G620" s="450" t="s">
        <v>206</v>
      </c>
      <c r="H620" s="568" t="s">
        <v>760</v>
      </c>
      <c r="I620" s="453">
        <v>737.5</v>
      </c>
      <c r="J620" s="448">
        <f t="shared" si="22"/>
        <v>737.5</v>
      </c>
      <c r="K620" s="550"/>
    </row>
    <row r="621" spans="1:11" ht="12" customHeight="1" x14ac:dyDescent="0.2">
      <c r="A621" s="459" t="s">
        <v>0</v>
      </c>
      <c r="B621" s="449">
        <v>21060</v>
      </c>
      <c r="C621" s="449"/>
      <c r="D621" s="443" t="s">
        <v>867</v>
      </c>
      <c r="E621" s="443" t="s">
        <v>858</v>
      </c>
      <c r="F621" s="454" t="s">
        <v>347</v>
      </c>
      <c r="G621" s="450" t="s">
        <v>953</v>
      </c>
      <c r="H621" s="568" t="s">
        <v>758</v>
      </c>
      <c r="I621" s="453">
        <v>349</v>
      </c>
      <c r="J621" s="448">
        <f t="shared" si="22"/>
        <v>349</v>
      </c>
      <c r="K621" s="550"/>
    </row>
    <row r="622" spans="1:11" ht="12" customHeight="1" x14ac:dyDescent="0.2">
      <c r="A622" s="459" t="s">
        <v>0</v>
      </c>
      <c r="B622" s="449">
        <v>21070</v>
      </c>
      <c r="C622" s="449"/>
      <c r="D622" s="443" t="s">
        <v>868</v>
      </c>
      <c r="E622" s="443" t="s">
        <v>858</v>
      </c>
      <c r="F622" s="454" t="s">
        <v>347</v>
      </c>
      <c r="G622" s="450" t="s">
        <v>953</v>
      </c>
      <c r="H622" s="568" t="s">
        <v>759</v>
      </c>
      <c r="I622" s="453">
        <v>610.75</v>
      </c>
      <c r="J622" s="448">
        <f t="shared" si="22"/>
        <v>610.75</v>
      </c>
      <c r="K622" s="550"/>
    </row>
    <row r="623" spans="1:11" ht="12" customHeight="1" x14ac:dyDescent="0.2">
      <c r="A623" s="459" t="s">
        <v>0</v>
      </c>
      <c r="B623" s="449">
        <v>21080</v>
      </c>
      <c r="C623" s="449"/>
      <c r="D623" s="443" t="s">
        <v>869</v>
      </c>
      <c r="E623" s="443" t="s">
        <v>858</v>
      </c>
      <c r="F623" s="454" t="s">
        <v>347</v>
      </c>
      <c r="G623" s="450" t="s">
        <v>953</v>
      </c>
      <c r="H623" s="568" t="s">
        <v>760</v>
      </c>
      <c r="I623" s="453">
        <v>872.5</v>
      </c>
      <c r="J623" s="448">
        <f t="shared" si="22"/>
        <v>872.5</v>
      </c>
      <c r="K623" s="550"/>
    </row>
    <row r="624" spans="1:11" s="469" customFormat="1" ht="12" customHeight="1" x14ac:dyDescent="0.2">
      <c r="A624" s="474" t="s">
        <v>0</v>
      </c>
      <c r="B624" s="476">
        <v>22160</v>
      </c>
      <c r="C624" s="472"/>
      <c r="D624" s="478" t="s">
        <v>885</v>
      </c>
      <c r="E624" s="477" t="s">
        <v>858</v>
      </c>
      <c r="F624" s="479" t="s">
        <v>347</v>
      </c>
      <c r="G624" s="480" t="s">
        <v>678</v>
      </c>
      <c r="H624" s="568" t="s">
        <v>758</v>
      </c>
      <c r="I624" s="473">
        <v>395</v>
      </c>
      <c r="J624" s="497">
        <f t="shared" si="22"/>
        <v>395</v>
      </c>
      <c r="K624" s="550"/>
    </row>
    <row r="625" spans="1:11" s="469" customFormat="1" ht="12" customHeight="1" x14ac:dyDescent="0.2">
      <c r="A625" s="474" t="s">
        <v>0</v>
      </c>
      <c r="B625" s="484">
        <v>22170</v>
      </c>
      <c r="C625" s="472"/>
      <c r="D625" s="483" t="s">
        <v>886</v>
      </c>
      <c r="E625" s="477" t="s">
        <v>858</v>
      </c>
      <c r="F625" s="479" t="s">
        <v>347</v>
      </c>
      <c r="G625" s="481" t="s">
        <v>678</v>
      </c>
      <c r="H625" s="568" t="s">
        <v>759</v>
      </c>
      <c r="I625" s="473">
        <v>790</v>
      </c>
      <c r="J625" s="497">
        <f t="shared" si="22"/>
        <v>790</v>
      </c>
      <c r="K625" s="550"/>
    </row>
    <row r="626" spans="1:11" s="469" customFormat="1" ht="12" customHeight="1" x14ac:dyDescent="0.2">
      <c r="A626" s="474" t="s">
        <v>0</v>
      </c>
      <c r="B626" s="490">
        <v>22180</v>
      </c>
      <c r="C626" s="472"/>
      <c r="D626" s="485" t="s">
        <v>887</v>
      </c>
      <c r="E626" s="477" t="s">
        <v>858</v>
      </c>
      <c r="F626" s="479" t="s">
        <v>347</v>
      </c>
      <c r="G626" s="482" t="s">
        <v>678</v>
      </c>
      <c r="H626" s="568" t="s">
        <v>760</v>
      </c>
      <c r="I626" s="473">
        <v>1185</v>
      </c>
      <c r="J626" s="497">
        <f t="shared" si="22"/>
        <v>1185</v>
      </c>
      <c r="K626" s="550"/>
    </row>
    <row r="627" spans="1:11" ht="12" customHeight="1" x14ac:dyDescent="0.2">
      <c r="A627" s="474" t="s">
        <v>0</v>
      </c>
      <c r="B627" s="449">
        <v>20060</v>
      </c>
      <c r="C627" s="449"/>
      <c r="D627" s="443" t="s">
        <v>870</v>
      </c>
      <c r="E627" s="477" t="s">
        <v>858</v>
      </c>
      <c r="F627" s="479" t="s">
        <v>347</v>
      </c>
      <c r="G627" s="450" t="s">
        <v>348</v>
      </c>
      <c r="H627" s="569" t="s">
        <v>770</v>
      </c>
      <c r="I627" s="453">
        <v>195</v>
      </c>
      <c r="J627" s="497">
        <f t="shared" si="22"/>
        <v>195</v>
      </c>
      <c r="K627" s="550"/>
    </row>
    <row r="628" spans="1:11" ht="12" customHeight="1" x14ac:dyDescent="0.2">
      <c r="A628" s="459" t="s">
        <v>0</v>
      </c>
      <c r="B628" s="449">
        <v>20070</v>
      </c>
      <c r="C628" s="449"/>
      <c r="D628" s="443" t="s">
        <v>871</v>
      </c>
      <c r="E628" s="443" t="s">
        <v>858</v>
      </c>
      <c r="F628" s="454" t="s">
        <v>347</v>
      </c>
      <c r="G628" s="450" t="s">
        <v>348</v>
      </c>
      <c r="H628" s="569" t="s">
        <v>771</v>
      </c>
      <c r="I628" s="453">
        <v>341.25</v>
      </c>
      <c r="J628" s="448">
        <f t="shared" si="22"/>
        <v>341.25</v>
      </c>
      <c r="K628" s="550"/>
    </row>
    <row r="629" spans="1:11" ht="12" customHeight="1" x14ac:dyDescent="0.2">
      <c r="A629" s="456" t="s">
        <v>0</v>
      </c>
      <c r="B629" s="442">
        <v>20080</v>
      </c>
      <c r="C629" s="442"/>
      <c r="D629" s="443" t="s">
        <v>872</v>
      </c>
      <c r="E629" s="443" t="s">
        <v>858</v>
      </c>
      <c r="F629" s="454" t="s">
        <v>347</v>
      </c>
      <c r="G629" s="441" t="s">
        <v>348</v>
      </c>
      <c r="H629" s="569" t="s">
        <v>772</v>
      </c>
      <c r="I629" s="451">
        <v>487.5</v>
      </c>
      <c r="J629" s="448">
        <f t="shared" si="22"/>
        <v>487.5</v>
      </c>
      <c r="K629" s="550"/>
    </row>
    <row r="630" spans="1:11" ht="12" customHeight="1" x14ac:dyDescent="0.2">
      <c r="A630" s="456" t="s">
        <v>0</v>
      </c>
      <c r="B630" s="442">
        <v>20160</v>
      </c>
      <c r="C630" s="442"/>
      <c r="D630" s="443" t="s">
        <v>873</v>
      </c>
      <c r="E630" s="443" t="s">
        <v>858</v>
      </c>
      <c r="F630" s="454" t="s">
        <v>347</v>
      </c>
      <c r="G630" s="441" t="s">
        <v>349</v>
      </c>
      <c r="H630" s="569" t="s">
        <v>770</v>
      </c>
      <c r="I630" s="451">
        <v>220</v>
      </c>
      <c r="J630" s="448">
        <f t="shared" si="22"/>
        <v>220</v>
      </c>
      <c r="K630" s="550"/>
    </row>
    <row r="631" spans="1:11" ht="12" customHeight="1" x14ac:dyDescent="0.2">
      <c r="A631" s="456" t="s">
        <v>0</v>
      </c>
      <c r="B631" s="442">
        <v>20170</v>
      </c>
      <c r="C631" s="442"/>
      <c r="D631" s="443" t="s">
        <v>874</v>
      </c>
      <c r="E631" s="443" t="s">
        <v>858</v>
      </c>
      <c r="F631" s="454" t="s">
        <v>347</v>
      </c>
      <c r="G631" s="441" t="s">
        <v>349</v>
      </c>
      <c r="H631" s="569" t="s">
        <v>771</v>
      </c>
      <c r="I631" s="451">
        <v>385</v>
      </c>
      <c r="J631" s="448">
        <f t="shared" si="22"/>
        <v>385</v>
      </c>
      <c r="K631" s="550"/>
    </row>
    <row r="632" spans="1:11" ht="12" customHeight="1" x14ac:dyDescent="0.2">
      <c r="A632" s="456" t="s">
        <v>0</v>
      </c>
      <c r="B632" s="442">
        <v>20180</v>
      </c>
      <c r="C632" s="442"/>
      <c r="D632" s="443" t="s">
        <v>875</v>
      </c>
      <c r="E632" s="443" t="s">
        <v>858</v>
      </c>
      <c r="F632" s="454" t="s">
        <v>347</v>
      </c>
      <c r="G632" s="441" t="s">
        <v>349</v>
      </c>
      <c r="H632" s="569" t="s">
        <v>772</v>
      </c>
      <c r="I632" s="451">
        <v>550</v>
      </c>
      <c r="J632" s="448">
        <f t="shared" ref="J632:J638" si="23">IF(I632="on request","on request",IF(F632="Box",I632*(100%-$C$3),IF(F632="License",I632*(100%-$C$4),IF(F632="Renewal",I632*(100%-$C$5),IF(F632="ESD",I632*(100%-$C$3),I632)))))</f>
        <v>550</v>
      </c>
      <c r="K632" s="550"/>
    </row>
    <row r="633" spans="1:11" ht="12" customHeight="1" x14ac:dyDescent="0.2">
      <c r="A633" s="456" t="s">
        <v>0</v>
      </c>
      <c r="B633" s="442">
        <v>21760</v>
      </c>
      <c r="C633" s="442"/>
      <c r="D633" s="443" t="s">
        <v>876</v>
      </c>
      <c r="E633" s="443" t="s">
        <v>858</v>
      </c>
      <c r="F633" s="454" t="s">
        <v>347</v>
      </c>
      <c r="G633" s="441" t="s">
        <v>350</v>
      </c>
      <c r="H633" s="569" t="s">
        <v>770</v>
      </c>
      <c r="I633" s="451">
        <v>245</v>
      </c>
      <c r="J633" s="448">
        <f t="shared" si="23"/>
        <v>245</v>
      </c>
      <c r="K633" s="550"/>
    </row>
    <row r="634" spans="1:11" ht="12" customHeight="1" x14ac:dyDescent="0.2">
      <c r="A634" s="456" t="s">
        <v>0</v>
      </c>
      <c r="B634" s="442">
        <v>21770</v>
      </c>
      <c r="C634" s="442"/>
      <c r="D634" s="443" t="s">
        <v>877</v>
      </c>
      <c r="E634" s="443" t="s">
        <v>858</v>
      </c>
      <c r="F634" s="454" t="s">
        <v>347</v>
      </c>
      <c r="G634" s="441" t="s">
        <v>350</v>
      </c>
      <c r="H634" s="569" t="s">
        <v>771</v>
      </c>
      <c r="I634" s="451">
        <v>428.75</v>
      </c>
      <c r="J634" s="448">
        <f t="shared" si="23"/>
        <v>428.75</v>
      </c>
      <c r="K634" s="550"/>
    </row>
    <row r="635" spans="1:11" ht="12" customHeight="1" x14ac:dyDescent="0.2">
      <c r="A635" s="456" t="s">
        <v>0</v>
      </c>
      <c r="B635" s="442">
        <v>21780</v>
      </c>
      <c r="C635" s="442"/>
      <c r="D635" s="443" t="s">
        <v>878</v>
      </c>
      <c r="E635" s="443" t="s">
        <v>858</v>
      </c>
      <c r="F635" s="454" t="s">
        <v>347</v>
      </c>
      <c r="G635" s="441" t="s">
        <v>350</v>
      </c>
      <c r="H635" s="569" t="s">
        <v>772</v>
      </c>
      <c r="I635" s="451">
        <v>612.5</v>
      </c>
      <c r="J635" s="448">
        <f t="shared" si="23"/>
        <v>612.5</v>
      </c>
      <c r="K635" s="550"/>
    </row>
    <row r="636" spans="1:11" ht="12" customHeight="1" x14ac:dyDescent="0.2">
      <c r="A636" s="456" t="s">
        <v>0</v>
      </c>
      <c r="B636" s="442">
        <v>20660</v>
      </c>
      <c r="C636" s="442"/>
      <c r="D636" s="443" t="s">
        <v>879</v>
      </c>
      <c r="E636" s="443" t="s">
        <v>858</v>
      </c>
      <c r="F636" s="454" t="s">
        <v>347</v>
      </c>
      <c r="G636" s="441" t="s">
        <v>303</v>
      </c>
      <c r="H636" s="569" t="s">
        <v>935</v>
      </c>
      <c r="I636" s="451">
        <v>195</v>
      </c>
      <c r="J636" s="448">
        <f t="shared" si="23"/>
        <v>195</v>
      </c>
      <c r="K636" s="550"/>
    </row>
    <row r="637" spans="1:11" ht="12" customHeight="1" x14ac:dyDescent="0.2">
      <c r="A637" s="456" t="s">
        <v>0</v>
      </c>
      <c r="B637" s="442">
        <v>20670</v>
      </c>
      <c r="C637" s="442"/>
      <c r="D637" s="443" t="s">
        <v>880</v>
      </c>
      <c r="E637" s="443" t="s">
        <v>858</v>
      </c>
      <c r="F637" s="454" t="s">
        <v>347</v>
      </c>
      <c r="G637" s="441" t="s">
        <v>303</v>
      </c>
      <c r="H637" s="569" t="s">
        <v>936</v>
      </c>
      <c r="I637" s="451">
        <v>341.25</v>
      </c>
      <c r="J637" s="448">
        <f t="shared" si="23"/>
        <v>341.25</v>
      </c>
      <c r="K637" s="550"/>
    </row>
    <row r="638" spans="1:11" ht="12" customHeight="1" thickBot="1" x14ac:dyDescent="0.25">
      <c r="A638" s="457" t="s">
        <v>0</v>
      </c>
      <c r="B638" s="444">
        <v>20680</v>
      </c>
      <c r="C638" s="444"/>
      <c r="D638" s="446" t="s">
        <v>881</v>
      </c>
      <c r="E638" s="446" t="s">
        <v>858</v>
      </c>
      <c r="F638" s="455" t="s">
        <v>347</v>
      </c>
      <c r="G638" s="445" t="s">
        <v>303</v>
      </c>
      <c r="H638" s="570" t="s">
        <v>937</v>
      </c>
      <c r="I638" s="452">
        <v>487.5</v>
      </c>
      <c r="J638" s="448">
        <f t="shared" si="23"/>
        <v>487.5</v>
      </c>
      <c r="K638" s="550"/>
    </row>
    <row r="639" spans="1:11" ht="12" customHeight="1" x14ac:dyDescent="0.2">
      <c r="A639" s="524" t="s">
        <v>790</v>
      </c>
      <c r="B639" s="525"/>
      <c r="C639" s="525"/>
      <c r="D639" s="525"/>
      <c r="E639" s="525"/>
      <c r="F639" s="525"/>
      <c r="G639" s="525"/>
      <c r="H639" s="525"/>
      <c r="I639" s="525"/>
      <c r="J639" s="109"/>
      <c r="K639" s="550"/>
    </row>
    <row r="640" spans="1:11" ht="12" customHeight="1" x14ac:dyDescent="0.2">
      <c r="A640" s="523" t="s">
        <v>0</v>
      </c>
      <c r="B640" s="521">
        <v>29110</v>
      </c>
      <c r="C640" s="521"/>
      <c r="D640" s="520" t="s">
        <v>351</v>
      </c>
      <c r="E640" s="520" t="s">
        <v>372</v>
      </c>
      <c r="F640" s="521" t="s">
        <v>346</v>
      </c>
      <c r="G640" s="520" t="s">
        <v>953</v>
      </c>
      <c r="H640" s="520" t="s">
        <v>752</v>
      </c>
      <c r="I640" s="522">
        <v>2950</v>
      </c>
      <c r="J640" s="23">
        <f t="shared" ref="J640:J657" si="24">IF(I640="on request","on request",IF(F640="Box",I640*(100%-$C$3),IF(F640="License",I640*(100%-$C$4),IF(F640="Renewal",I640*(100%-$C$5),IF(F640="ESD",I640*(100%-$C$3),I640)))))</f>
        <v>2950</v>
      </c>
      <c r="K640" s="550"/>
    </row>
    <row r="641" spans="1:11" ht="12" customHeight="1" x14ac:dyDescent="0.2">
      <c r="A641" s="523" t="s">
        <v>0</v>
      </c>
      <c r="B641" s="521">
        <v>29210</v>
      </c>
      <c r="C641" s="521"/>
      <c r="D641" s="520" t="s">
        <v>352</v>
      </c>
      <c r="E641" s="520" t="s">
        <v>373</v>
      </c>
      <c r="F641" s="521" t="s">
        <v>346</v>
      </c>
      <c r="G641" s="520" t="s">
        <v>953</v>
      </c>
      <c r="H641" s="520" t="s">
        <v>752</v>
      </c>
      <c r="I641" s="522">
        <v>4950</v>
      </c>
      <c r="J641" s="23">
        <f t="shared" si="24"/>
        <v>4950</v>
      </c>
      <c r="K641" s="550"/>
    </row>
    <row r="642" spans="1:11" ht="12" customHeight="1" x14ac:dyDescent="0.2">
      <c r="A642" s="523" t="s">
        <v>0</v>
      </c>
      <c r="B642" s="521">
        <v>29310</v>
      </c>
      <c r="C642" s="521"/>
      <c r="D642" s="520" t="s">
        <v>353</v>
      </c>
      <c r="E642" s="520" t="s">
        <v>374</v>
      </c>
      <c r="F642" s="521" t="s">
        <v>346</v>
      </c>
      <c r="G642" s="520" t="s">
        <v>953</v>
      </c>
      <c r="H642" s="520" t="s">
        <v>752</v>
      </c>
      <c r="I642" s="522">
        <v>8950</v>
      </c>
      <c r="J642" s="23">
        <f t="shared" si="24"/>
        <v>8950</v>
      </c>
      <c r="K642" s="550"/>
    </row>
    <row r="643" spans="1:11" s="486" customFormat="1" ht="12" customHeight="1" x14ac:dyDescent="0.2">
      <c r="A643" s="523" t="s">
        <v>0</v>
      </c>
      <c r="B643" s="521">
        <v>29120</v>
      </c>
      <c r="C643" s="521"/>
      <c r="D643" s="520" t="s">
        <v>354</v>
      </c>
      <c r="E643" s="520" t="s">
        <v>372</v>
      </c>
      <c r="F643" s="521" t="s">
        <v>346</v>
      </c>
      <c r="G643" s="520" t="s">
        <v>953</v>
      </c>
      <c r="H643" s="520" t="s">
        <v>753</v>
      </c>
      <c r="I643" s="522">
        <v>4412.5</v>
      </c>
      <c r="J643" s="493">
        <f t="shared" si="24"/>
        <v>4412.5</v>
      </c>
      <c r="K643" s="550"/>
    </row>
    <row r="644" spans="1:11" s="486" customFormat="1" ht="12" customHeight="1" x14ac:dyDescent="0.2">
      <c r="A644" s="523" t="s">
        <v>0</v>
      </c>
      <c r="B644" s="521">
        <v>29220</v>
      </c>
      <c r="C644" s="521"/>
      <c r="D644" s="520" t="s">
        <v>355</v>
      </c>
      <c r="E644" s="520" t="s">
        <v>373</v>
      </c>
      <c r="F644" s="521" t="s">
        <v>346</v>
      </c>
      <c r="G644" s="520" t="s">
        <v>953</v>
      </c>
      <c r="H644" s="520" t="s">
        <v>753</v>
      </c>
      <c r="I644" s="522">
        <v>7162.5</v>
      </c>
      <c r="J644" s="493">
        <f t="shared" si="24"/>
        <v>7162.5</v>
      </c>
      <c r="K644" s="550"/>
    </row>
    <row r="645" spans="1:11" s="486" customFormat="1" ht="12" customHeight="1" x14ac:dyDescent="0.2">
      <c r="A645" s="523" t="s">
        <v>0</v>
      </c>
      <c r="B645" s="521">
        <v>29320</v>
      </c>
      <c r="C645" s="521"/>
      <c r="D645" s="520" t="s">
        <v>356</v>
      </c>
      <c r="E645" s="520" t="s">
        <v>374</v>
      </c>
      <c r="F645" s="521" t="s">
        <v>346</v>
      </c>
      <c r="G645" s="520" t="s">
        <v>953</v>
      </c>
      <c r="H645" s="520" t="s">
        <v>753</v>
      </c>
      <c r="I645" s="522">
        <v>12662.5</v>
      </c>
      <c r="J645" s="493">
        <f t="shared" si="24"/>
        <v>12662.5</v>
      </c>
      <c r="K645" s="550"/>
    </row>
    <row r="646" spans="1:11" s="486" customFormat="1" ht="12" customHeight="1" x14ac:dyDescent="0.2">
      <c r="A646" s="523" t="s">
        <v>0</v>
      </c>
      <c r="B646" s="521">
        <v>29130</v>
      </c>
      <c r="C646" s="521"/>
      <c r="D646" s="520" t="s">
        <v>357</v>
      </c>
      <c r="E646" s="520" t="s">
        <v>372</v>
      </c>
      <c r="F646" s="521" t="s">
        <v>346</v>
      </c>
      <c r="G646" s="520" t="s">
        <v>953</v>
      </c>
      <c r="H646" s="520" t="s">
        <v>755</v>
      </c>
      <c r="I646" s="522">
        <v>5875</v>
      </c>
      <c r="J646" s="493">
        <f t="shared" si="24"/>
        <v>5875</v>
      </c>
      <c r="K646" s="550"/>
    </row>
    <row r="647" spans="1:11" s="486" customFormat="1" ht="12" customHeight="1" x14ac:dyDescent="0.2">
      <c r="A647" s="523" t="s">
        <v>0</v>
      </c>
      <c r="B647" s="521">
        <v>29230</v>
      </c>
      <c r="C647" s="521"/>
      <c r="D647" s="520" t="s">
        <v>358</v>
      </c>
      <c r="E647" s="520" t="s">
        <v>373</v>
      </c>
      <c r="F647" s="521" t="s">
        <v>346</v>
      </c>
      <c r="G647" s="520" t="s">
        <v>953</v>
      </c>
      <c r="H647" s="520" t="s">
        <v>755</v>
      </c>
      <c r="I647" s="522">
        <v>9375</v>
      </c>
      <c r="J647" s="493">
        <f t="shared" si="24"/>
        <v>9375</v>
      </c>
      <c r="K647" s="550"/>
    </row>
    <row r="648" spans="1:11" s="486" customFormat="1" ht="12" customHeight="1" x14ac:dyDescent="0.2">
      <c r="A648" s="523" t="s">
        <v>0</v>
      </c>
      <c r="B648" s="521">
        <v>29330</v>
      </c>
      <c r="C648" s="521"/>
      <c r="D648" s="520" t="s">
        <v>359</v>
      </c>
      <c r="E648" s="520" t="s">
        <v>374</v>
      </c>
      <c r="F648" s="521" t="s">
        <v>346</v>
      </c>
      <c r="G648" s="520" t="s">
        <v>953</v>
      </c>
      <c r="H648" s="520" t="s">
        <v>755</v>
      </c>
      <c r="I648" s="522">
        <v>16375</v>
      </c>
      <c r="J648" s="493">
        <f t="shared" si="24"/>
        <v>16375</v>
      </c>
      <c r="K648" s="550"/>
    </row>
    <row r="649" spans="1:11" s="486" customFormat="1" ht="12" customHeight="1" x14ac:dyDescent="0.2">
      <c r="A649" s="523" t="s">
        <v>0</v>
      </c>
      <c r="B649" s="521">
        <v>29410</v>
      </c>
      <c r="C649" s="521"/>
      <c r="D649" s="520" t="s">
        <v>897</v>
      </c>
      <c r="E649" s="520" t="s">
        <v>372</v>
      </c>
      <c r="F649" s="521" t="s">
        <v>346</v>
      </c>
      <c r="G649" s="520" t="s">
        <v>678</v>
      </c>
      <c r="H649" s="520" t="s">
        <v>752</v>
      </c>
      <c r="I649" s="522">
        <v>2050</v>
      </c>
      <c r="J649" s="493">
        <f t="shared" si="24"/>
        <v>2050</v>
      </c>
      <c r="K649" s="550"/>
    </row>
    <row r="650" spans="1:11" s="486" customFormat="1" ht="12" customHeight="1" x14ac:dyDescent="0.2">
      <c r="A650" s="523" t="s">
        <v>0</v>
      </c>
      <c r="B650" s="521">
        <v>29510</v>
      </c>
      <c r="C650" s="521"/>
      <c r="D650" s="520" t="s">
        <v>898</v>
      </c>
      <c r="E650" s="520" t="s">
        <v>373</v>
      </c>
      <c r="F650" s="521" t="s">
        <v>346</v>
      </c>
      <c r="G650" s="520" t="s">
        <v>678</v>
      </c>
      <c r="H650" s="520" t="s">
        <v>752</v>
      </c>
      <c r="I650" s="522">
        <v>3450</v>
      </c>
      <c r="J650" s="493">
        <f t="shared" si="24"/>
        <v>3450</v>
      </c>
      <c r="K650" s="550"/>
    </row>
    <row r="651" spans="1:11" s="486" customFormat="1" ht="12" customHeight="1" x14ac:dyDescent="0.2">
      <c r="A651" s="523" t="s">
        <v>0</v>
      </c>
      <c r="B651" s="521">
        <v>29610</v>
      </c>
      <c r="C651" s="521"/>
      <c r="D651" s="520" t="s">
        <v>899</v>
      </c>
      <c r="E651" s="520" t="s">
        <v>374</v>
      </c>
      <c r="F651" s="521" t="s">
        <v>346</v>
      </c>
      <c r="G651" s="520" t="s">
        <v>678</v>
      </c>
      <c r="H651" s="520" t="s">
        <v>752</v>
      </c>
      <c r="I651" s="522">
        <v>6220</v>
      </c>
      <c r="J651" s="493">
        <f t="shared" si="24"/>
        <v>6220</v>
      </c>
      <c r="K651" s="550"/>
    </row>
    <row r="652" spans="1:11" s="486" customFormat="1" ht="12" customHeight="1" x14ac:dyDescent="0.2">
      <c r="A652" s="523" t="s">
        <v>0</v>
      </c>
      <c r="B652" s="521">
        <v>29420</v>
      </c>
      <c r="C652" s="521"/>
      <c r="D652" s="520" t="s">
        <v>900</v>
      </c>
      <c r="E652" s="520" t="s">
        <v>372</v>
      </c>
      <c r="F652" s="521" t="s">
        <v>346</v>
      </c>
      <c r="G652" s="520" t="s">
        <v>678</v>
      </c>
      <c r="H652" s="520" t="s">
        <v>753</v>
      </c>
      <c r="I652" s="522">
        <v>4100</v>
      </c>
      <c r="J652" s="493">
        <f t="shared" si="24"/>
        <v>4100</v>
      </c>
      <c r="K652" s="550"/>
    </row>
    <row r="653" spans="1:11" s="486" customFormat="1" ht="12" customHeight="1" x14ac:dyDescent="0.2">
      <c r="A653" s="523" t="s">
        <v>0</v>
      </c>
      <c r="B653" s="521">
        <v>29520</v>
      </c>
      <c r="C653" s="521"/>
      <c r="D653" s="520" t="s">
        <v>901</v>
      </c>
      <c r="E653" s="520" t="s">
        <v>373</v>
      </c>
      <c r="F653" s="521" t="s">
        <v>346</v>
      </c>
      <c r="G653" s="520" t="s">
        <v>678</v>
      </c>
      <c r="H653" s="520" t="s">
        <v>753</v>
      </c>
      <c r="I653" s="522">
        <v>6900</v>
      </c>
      <c r="J653" s="493">
        <f t="shared" si="24"/>
        <v>6900</v>
      </c>
      <c r="K653" s="550"/>
    </row>
    <row r="654" spans="1:11" s="486" customFormat="1" ht="12" customHeight="1" x14ac:dyDescent="0.2">
      <c r="A654" s="523" t="s">
        <v>0</v>
      </c>
      <c r="B654" s="521">
        <v>29620</v>
      </c>
      <c r="C654" s="521"/>
      <c r="D654" s="520" t="s">
        <v>902</v>
      </c>
      <c r="E654" s="520" t="s">
        <v>374</v>
      </c>
      <c r="F654" s="521" t="s">
        <v>346</v>
      </c>
      <c r="G654" s="520" t="s">
        <v>678</v>
      </c>
      <c r="H654" s="520" t="s">
        <v>753</v>
      </c>
      <c r="I654" s="522">
        <v>12440</v>
      </c>
      <c r="J654" s="493">
        <f t="shared" si="24"/>
        <v>12440</v>
      </c>
      <c r="K654" s="550"/>
    </row>
    <row r="655" spans="1:11" s="486" customFormat="1" ht="12" customHeight="1" x14ac:dyDescent="0.2">
      <c r="A655" s="523" t="s">
        <v>0</v>
      </c>
      <c r="B655" s="521">
        <v>29430</v>
      </c>
      <c r="C655" s="521"/>
      <c r="D655" s="520" t="s">
        <v>903</v>
      </c>
      <c r="E655" s="520" t="s">
        <v>372</v>
      </c>
      <c r="F655" s="521" t="s">
        <v>346</v>
      </c>
      <c r="G655" s="520" t="s">
        <v>678</v>
      </c>
      <c r="H655" s="520" t="s">
        <v>755</v>
      </c>
      <c r="I655" s="522">
        <v>6150</v>
      </c>
      <c r="J655" s="493">
        <f t="shared" si="24"/>
        <v>6150</v>
      </c>
      <c r="K655" s="550"/>
    </row>
    <row r="656" spans="1:11" s="486" customFormat="1" ht="12" customHeight="1" x14ac:dyDescent="0.2">
      <c r="A656" s="523" t="s">
        <v>0</v>
      </c>
      <c r="B656" s="521">
        <v>29530</v>
      </c>
      <c r="C656" s="521"/>
      <c r="D656" s="520" t="s">
        <v>904</v>
      </c>
      <c r="E656" s="520" t="s">
        <v>373</v>
      </c>
      <c r="F656" s="521" t="s">
        <v>346</v>
      </c>
      <c r="G656" s="520" t="s">
        <v>678</v>
      </c>
      <c r="H656" s="520" t="s">
        <v>755</v>
      </c>
      <c r="I656" s="522">
        <v>10350</v>
      </c>
      <c r="J656" s="493">
        <f t="shared" si="24"/>
        <v>10350</v>
      </c>
      <c r="K656" s="550"/>
    </row>
    <row r="657" spans="1:11" s="486" customFormat="1" ht="12" customHeight="1" thickBot="1" x14ac:dyDescent="0.25">
      <c r="A657" s="523" t="s">
        <v>0</v>
      </c>
      <c r="B657" s="521">
        <v>29630</v>
      </c>
      <c r="C657" s="521"/>
      <c r="D657" s="520" t="s">
        <v>905</v>
      </c>
      <c r="E657" s="520" t="s">
        <v>374</v>
      </c>
      <c r="F657" s="521" t="s">
        <v>346</v>
      </c>
      <c r="G657" s="520" t="s">
        <v>678</v>
      </c>
      <c r="H657" s="520" t="s">
        <v>755</v>
      </c>
      <c r="I657" s="522">
        <v>18660</v>
      </c>
      <c r="J657" s="493">
        <f t="shared" si="24"/>
        <v>18660</v>
      </c>
      <c r="K657" s="550"/>
    </row>
    <row r="658" spans="1:11" ht="12" customHeight="1" x14ac:dyDescent="0.2">
      <c r="A658" s="539" t="s">
        <v>791</v>
      </c>
      <c r="B658" s="540"/>
      <c r="C658" s="540"/>
      <c r="D658" s="540"/>
      <c r="E658" s="540"/>
      <c r="F658" s="540"/>
      <c r="G658" s="540"/>
      <c r="H658" s="540"/>
      <c r="I658" s="540"/>
      <c r="J658" s="109"/>
      <c r="K658" s="550"/>
    </row>
    <row r="659" spans="1:11" ht="12" customHeight="1" x14ac:dyDescent="0.2">
      <c r="A659" s="536" t="s">
        <v>0</v>
      </c>
      <c r="B659" s="528">
        <v>29160</v>
      </c>
      <c r="C659" s="528"/>
      <c r="D659" s="529" t="s">
        <v>360</v>
      </c>
      <c r="E659" s="527" t="s">
        <v>371</v>
      </c>
      <c r="F659" s="535" t="s">
        <v>347</v>
      </c>
      <c r="G659" s="527" t="s">
        <v>953</v>
      </c>
      <c r="H659" s="529" t="s">
        <v>758</v>
      </c>
      <c r="I659" s="533">
        <v>1950</v>
      </c>
      <c r="J659" s="19">
        <f t="shared" ref="J659:J676" si="25">IF(I659="on request","on request",IF(F659="Box",I659*(100%-$C$3),IF(F659="License",I659*(100%-$C$4),IF(F659="Renewal",I659*(100%-$C$5),IF(F659="ESD",I659*(100%-$C$3),I659)))))</f>
        <v>1950</v>
      </c>
      <c r="K659" s="550"/>
    </row>
    <row r="660" spans="1:11" ht="12" customHeight="1" x14ac:dyDescent="0.2">
      <c r="A660" s="536" t="s">
        <v>0</v>
      </c>
      <c r="B660" s="528">
        <v>29260</v>
      </c>
      <c r="C660" s="528"/>
      <c r="D660" s="529" t="s">
        <v>361</v>
      </c>
      <c r="E660" s="527" t="s">
        <v>369</v>
      </c>
      <c r="F660" s="535" t="s">
        <v>347</v>
      </c>
      <c r="G660" s="527" t="s">
        <v>953</v>
      </c>
      <c r="H660" s="529" t="s">
        <v>758</v>
      </c>
      <c r="I660" s="533">
        <v>2950</v>
      </c>
      <c r="J660" s="19">
        <f t="shared" si="25"/>
        <v>2950</v>
      </c>
      <c r="K660" s="550"/>
    </row>
    <row r="661" spans="1:11" ht="12" customHeight="1" x14ac:dyDescent="0.2">
      <c r="A661" s="536" t="s">
        <v>0</v>
      </c>
      <c r="B661" s="528">
        <v>29360</v>
      </c>
      <c r="C661" s="528"/>
      <c r="D661" s="529" t="s">
        <v>362</v>
      </c>
      <c r="E661" s="527" t="s">
        <v>370</v>
      </c>
      <c r="F661" s="535" t="s">
        <v>347</v>
      </c>
      <c r="G661" s="527" t="s">
        <v>953</v>
      </c>
      <c r="H661" s="529" t="s">
        <v>758</v>
      </c>
      <c r="I661" s="533">
        <v>4950</v>
      </c>
      <c r="J661" s="19">
        <f t="shared" si="25"/>
        <v>4950</v>
      </c>
      <c r="K661" s="550"/>
    </row>
    <row r="662" spans="1:11" s="486" customFormat="1" ht="12" customHeight="1" x14ac:dyDescent="0.2">
      <c r="A662" s="536" t="s">
        <v>0</v>
      </c>
      <c r="B662" s="528">
        <v>29170</v>
      </c>
      <c r="C662" s="528"/>
      <c r="D662" s="529" t="s">
        <v>363</v>
      </c>
      <c r="E662" s="527" t="s">
        <v>371</v>
      </c>
      <c r="F662" s="535" t="s">
        <v>347</v>
      </c>
      <c r="G662" s="527" t="s">
        <v>953</v>
      </c>
      <c r="H662" s="529" t="s">
        <v>759</v>
      </c>
      <c r="I662" s="533">
        <v>3412.5</v>
      </c>
      <c r="J662" s="492">
        <f t="shared" si="25"/>
        <v>3412.5</v>
      </c>
      <c r="K662" s="550"/>
    </row>
    <row r="663" spans="1:11" s="486" customFormat="1" ht="12" customHeight="1" x14ac:dyDescent="0.2">
      <c r="A663" s="536" t="s">
        <v>0</v>
      </c>
      <c r="B663" s="528">
        <v>29270</v>
      </c>
      <c r="C663" s="528"/>
      <c r="D663" s="529" t="s">
        <v>364</v>
      </c>
      <c r="E663" s="527" t="s">
        <v>369</v>
      </c>
      <c r="F663" s="535" t="s">
        <v>347</v>
      </c>
      <c r="G663" s="527" t="s">
        <v>953</v>
      </c>
      <c r="H663" s="529" t="s">
        <v>759</v>
      </c>
      <c r="I663" s="533">
        <v>5162.5</v>
      </c>
      <c r="J663" s="492">
        <f t="shared" si="25"/>
        <v>5162.5</v>
      </c>
      <c r="K663" s="550"/>
    </row>
    <row r="664" spans="1:11" s="486" customFormat="1" ht="12" customHeight="1" x14ac:dyDescent="0.2">
      <c r="A664" s="536" t="s">
        <v>0</v>
      </c>
      <c r="B664" s="528">
        <v>29370</v>
      </c>
      <c r="C664" s="528"/>
      <c r="D664" s="529" t="s">
        <v>365</v>
      </c>
      <c r="E664" s="527" t="s">
        <v>370</v>
      </c>
      <c r="F664" s="535" t="s">
        <v>347</v>
      </c>
      <c r="G664" s="527" t="s">
        <v>953</v>
      </c>
      <c r="H664" s="529" t="s">
        <v>759</v>
      </c>
      <c r="I664" s="533">
        <v>8662.5</v>
      </c>
      <c r="J664" s="492">
        <f t="shared" si="25"/>
        <v>8662.5</v>
      </c>
      <c r="K664" s="550"/>
    </row>
    <row r="665" spans="1:11" ht="12" customHeight="1" x14ac:dyDescent="0.2">
      <c r="A665" s="536" t="s">
        <v>0</v>
      </c>
      <c r="B665" s="528">
        <v>29180</v>
      </c>
      <c r="C665" s="528"/>
      <c r="D665" s="529" t="s">
        <v>366</v>
      </c>
      <c r="E665" s="527" t="s">
        <v>371</v>
      </c>
      <c r="F665" s="535" t="s">
        <v>347</v>
      </c>
      <c r="G665" s="527" t="s">
        <v>953</v>
      </c>
      <c r="H665" s="529" t="s">
        <v>760</v>
      </c>
      <c r="I665" s="533">
        <v>4875</v>
      </c>
      <c r="J665" s="492">
        <f t="shared" si="25"/>
        <v>4875</v>
      </c>
      <c r="K665" s="550"/>
    </row>
    <row r="666" spans="1:11" ht="12" customHeight="1" x14ac:dyDescent="0.2">
      <c r="A666" s="536" t="s">
        <v>0</v>
      </c>
      <c r="B666" s="528">
        <v>29280</v>
      </c>
      <c r="C666" s="528"/>
      <c r="D666" s="529" t="s">
        <v>367</v>
      </c>
      <c r="E666" s="527" t="s">
        <v>369</v>
      </c>
      <c r="F666" s="535" t="s">
        <v>347</v>
      </c>
      <c r="G666" s="527" t="s">
        <v>953</v>
      </c>
      <c r="H666" s="529" t="s">
        <v>760</v>
      </c>
      <c r="I666" s="533">
        <v>7375</v>
      </c>
      <c r="J666" s="492">
        <f t="shared" si="25"/>
        <v>7375</v>
      </c>
      <c r="K666" s="550"/>
    </row>
    <row r="667" spans="1:11" ht="12" customHeight="1" x14ac:dyDescent="0.2">
      <c r="A667" s="537" t="s">
        <v>0</v>
      </c>
      <c r="B667" s="531">
        <v>29380</v>
      </c>
      <c r="C667" s="531"/>
      <c r="D667" s="532" t="s">
        <v>368</v>
      </c>
      <c r="E667" s="530" t="s">
        <v>370</v>
      </c>
      <c r="F667" s="538" t="s">
        <v>347</v>
      </c>
      <c r="G667" s="530" t="s">
        <v>953</v>
      </c>
      <c r="H667" s="532" t="s">
        <v>760</v>
      </c>
      <c r="I667" s="534">
        <v>12375</v>
      </c>
      <c r="J667" s="492">
        <f t="shared" si="25"/>
        <v>12375</v>
      </c>
      <c r="K667" s="550"/>
    </row>
    <row r="668" spans="1:11" s="486" customFormat="1" ht="12" customHeight="1" x14ac:dyDescent="0.2">
      <c r="A668" s="536" t="s">
        <v>0</v>
      </c>
      <c r="B668" s="528">
        <v>29460</v>
      </c>
      <c r="C668" s="528"/>
      <c r="D668" s="529" t="s">
        <v>888</v>
      </c>
      <c r="E668" s="527" t="s">
        <v>371</v>
      </c>
      <c r="F668" s="535" t="s">
        <v>347</v>
      </c>
      <c r="G668" s="527" t="s">
        <v>678</v>
      </c>
      <c r="H668" s="529" t="s">
        <v>758</v>
      </c>
      <c r="I668" s="533">
        <v>2050</v>
      </c>
      <c r="J668" s="492">
        <f t="shared" si="25"/>
        <v>2050</v>
      </c>
      <c r="K668" s="550"/>
    </row>
    <row r="669" spans="1:11" s="486" customFormat="1" ht="12" customHeight="1" x14ac:dyDescent="0.2">
      <c r="A669" s="536" t="s">
        <v>0</v>
      </c>
      <c r="B669" s="528">
        <v>29560</v>
      </c>
      <c r="C669" s="528"/>
      <c r="D669" s="529" t="s">
        <v>889</v>
      </c>
      <c r="E669" s="527" t="s">
        <v>369</v>
      </c>
      <c r="F669" s="535" t="s">
        <v>347</v>
      </c>
      <c r="G669" s="527" t="s">
        <v>678</v>
      </c>
      <c r="H669" s="529" t="s">
        <v>758</v>
      </c>
      <c r="I669" s="533">
        <v>3450</v>
      </c>
      <c r="J669" s="492">
        <f t="shared" si="25"/>
        <v>3450</v>
      </c>
      <c r="K669" s="550"/>
    </row>
    <row r="670" spans="1:11" s="486" customFormat="1" ht="12" customHeight="1" x14ac:dyDescent="0.2">
      <c r="A670" s="536" t="s">
        <v>0</v>
      </c>
      <c r="B670" s="528">
        <v>29660</v>
      </c>
      <c r="C670" s="528"/>
      <c r="D670" s="529" t="s">
        <v>890</v>
      </c>
      <c r="E670" s="527" t="s">
        <v>370</v>
      </c>
      <c r="F670" s="535" t="s">
        <v>347</v>
      </c>
      <c r="G670" s="527" t="s">
        <v>678</v>
      </c>
      <c r="H670" s="529" t="s">
        <v>758</v>
      </c>
      <c r="I670" s="533">
        <v>6220</v>
      </c>
      <c r="J670" s="492">
        <f t="shared" si="25"/>
        <v>6220</v>
      </c>
      <c r="K670" s="550"/>
    </row>
    <row r="671" spans="1:11" ht="12" customHeight="1" x14ac:dyDescent="0.2">
      <c r="A671" s="536" t="s">
        <v>0</v>
      </c>
      <c r="B671" s="528">
        <v>29470</v>
      </c>
      <c r="C671" s="528"/>
      <c r="D671" s="529" t="s">
        <v>891</v>
      </c>
      <c r="E671" s="527" t="s">
        <v>371</v>
      </c>
      <c r="F671" s="535" t="s">
        <v>347</v>
      </c>
      <c r="G671" s="527" t="s">
        <v>678</v>
      </c>
      <c r="H671" s="529" t="s">
        <v>759</v>
      </c>
      <c r="I671" s="533">
        <v>4100</v>
      </c>
      <c r="J671" s="492">
        <f t="shared" si="25"/>
        <v>4100</v>
      </c>
      <c r="K671" s="550"/>
    </row>
    <row r="672" spans="1:11" ht="12" customHeight="1" x14ac:dyDescent="0.2">
      <c r="A672" s="536" t="s">
        <v>0</v>
      </c>
      <c r="B672" s="528">
        <v>29570</v>
      </c>
      <c r="C672" s="528"/>
      <c r="D672" s="529" t="s">
        <v>892</v>
      </c>
      <c r="E672" s="527" t="s">
        <v>369</v>
      </c>
      <c r="F672" s="535" t="s">
        <v>347</v>
      </c>
      <c r="G672" s="527" t="s">
        <v>678</v>
      </c>
      <c r="H672" s="529" t="s">
        <v>759</v>
      </c>
      <c r="I672" s="533">
        <v>6900</v>
      </c>
      <c r="J672" s="492">
        <f t="shared" si="25"/>
        <v>6900</v>
      </c>
      <c r="K672" s="550"/>
    </row>
    <row r="673" spans="1:11" s="486" customFormat="1" ht="12" customHeight="1" x14ac:dyDescent="0.2">
      <c r="A673" s="536" t="s">
        <v>0</v>
      </c>
      <c r="B673" s="528">
        <v>29670</v>
      </c>
      <c r="C673" s="528"/>
      <c r="D673" s="529" t="s">
        <v>893</v>
      </c>
      <c r="E673" s="527" t="s">
        <v>370</v>
      </c>
      <c r="F673" s="535" t="s">
        <v>347</v>
      </c>
      <c r="G673" s="527" t="s">
        <v>678</v>
      </c>
      <c r="H673" s="529" t="s">
        <v>759</v>
      </c>
      <c r="I673" s="533">
        <v>12440</v>
      </c>
      <c r="J673" s="492">
        <f t="shared" si="25"/>
        <v>12440</v>
      </c>
      <c r="K673" s="550"/>
    </row>
    <row r="674" spans="1:11" s="486" customFormat="1" ht="12" customHeight="1" x14ac:dyDescent="0.2">
      <c r="A674" s="536" t="s">
        <v>0</v>
      </c>
      <c r="B674" s="528">
        <v>29480</v>
      </c>
      <c r="C674" s="528"/>
      <c r="D674" s="529" t="s">
        <v>894</v>
      </c>
      <c r="E674" s="527" t="s">
        <v>371</v>
      </c>
      <c r="F674" s="535" t="s">
        <v>347</v>
      </c>
      <c r="G674" s="527" t="s">
        <v>678</v>
      </c>
      <c r="H674" s="529" t="s">
        <v>760</v>
      </c>
      <c r="I674" s="533">
        <v>6150</v>
      </c>
      <c r="J674" s="492">
        <f t="shared" si="25"/>
        <v>6150</v>
      </c>
      <c r="K674" s="550"/>
    </row>
    <row r="675" spans="1:11" s="486" customFormat="1" ht="12" customHeight="1" x14ac:dyDescent="0.2">
      <c r="A675" s="536" t="s">
        <v>0</v>
      </c>
      <c r="B675" s="528">
        <v>29580</v>
      </c>
      <c r="C675" s="528"/>
      <c r="D675" s="529" t="s">
        <v>895</v>
      </c>
      <c r="E675" s="527" t="s">
        <v>369</v>
      </c>
      <c r="F675" s="535" t="s">
        <v>347</v>
      </c>
      <c r="G675" s="527" t="s">
        <v>678</v>
      </c>
      <c r="H675" s="529" t="s">
        <v>760</v>
      </c>
      <c r="I675" s="533">
        <v>10350</v>
      </c>
      <c r="J675" s="492">
        <f t="shared" si="25"/>
        <v>10350</v>
      </c>
      <c r="K675" s="550"/>
    </row>
    <row r="676" spans="1:11" s="486" customFormat="1" ht="12" customHeight="1" thickBot="1" x14ac:dyDescent="0.25">
      <c r="A676" s="537" t="s">
        <v>0</v>
      </c>
      <c r="B676" s="531">
        <v>29680</v>
      </c>
      <c r="C676" s="531"/>
      <c r="D676" s="532" t="s">
        <v>896</v>
      </c>
      <c r="E676" s="530" t="s">
        <v>370</v>
      </c>
      <c r="F676" s="538" t="s">
        <v>347</v>
      </c>
      <c r="G676" s="530" t="s">
        <v>678</v>
      </c>
      <c r="H676" s="532" t="s">
        <v>760</v>
      </c>
      <c r="I676" s="534">
        <v>18660</v>
      </c>
      <c r="J676" s="492">
        <f t="shared" si="25"/>
        <v>18660</v>
      </c>
      <c r="K676" s="550"/>
    </row>
    <row r="677" spans="1:11" s="440" customFormat="1" ht="12" customHeight="1" x14ac:dyDescent="0.2">
      <c r="A677" s="460" t="s">
        <v>798</v>
      </c>
      <c r="B677" s="461"/>
      <c r="C677" s="461"/>
      <c r="D677" s="461"/>
      <c r="E677" s="461"/>
      <c r="F677" s="461"/>
      <c r="G677" s="461"/>
      <c r="H677" s="461"/>
      <c r="I677" s="461"/>
      <c r="J677" s="462"/>
      <c r="K677" s="546"/>
    </row>
    <row r="678" spans="1:11" s="61" customFormat="1" ht="12" customHeight="1" x14ac:dyDescent="0.2">
      <c r="A678" s="83" t="s">
        <v>0</v>
      </c>
      <c r="B678" s="4">
        <v>21811</v>
      </c>
      <c r="C678" s="4"/>
      <c r="D678" s="3" t="s">
        <v>452</v>
      </c>
      <c r="E678" s="3" t="s">
        <v>463</v>
      </c>
      <c r="F678" s="4" t="s">
        <v>346</v>
      </c>
      <c r="G678" s="3" t="s">
        <v>450</v>
      </c>
      <c r="H678" s="3" t="s">
        <v>767</v>
      </c>
      <c r="I678" s="5">
        <v>12.5</v>
      </c>
      <c r="J678" s="23">
        <f>IF(I678="on request","on request",IF(F678="Box",I678*(100%-$C$3),IF(F678="License",I678*(100%-$C$4),IF(F678="Renewal",I678*(100%-$C$5),IF(F678="ESD",I678*(100%-$C$3),I678)))))</f>
        <v>12.5</v>
      </c>
      <c r="K678" s="556"/>
    </row>
    <row r="679" spans="1:11" s="61" customFormat="1" ht="12" customHeight="1" x14ac:dyDescent="0.2">
      <c r="A679" s="83" t="s">
        <v>0</v>
      </c>
      <c r="B679" s="4">
        <v>21812</v>
      </c>
      <c r="C679" s="4"/>
      <c r="D679" s="3" t="s">
        <v>453</v>
      </c>
      <c r="E679" s="3" t="s">
        <v>5</v>
      </c>
      <c r="F679" s="4" t="s">
        <v>346</v>
      </c>
      <c r="G679" s="3" t="s">
        <v>450</v>
      </c>
      <c r="H679" s="3" t="s">
        <v>767</v>
      </c>
      <c r="I679" s="5">
        <v>11</v>
      </c>
      <c r="J679" s="23">
        <f>IF(I679="on request","on request",IF(F679="Box",I679*(100%-$C$3),IF(F679="License",I679*(100%-$C$4),IF(F679="Renewal",I679*(100%-$C$5),IF(F679="ESD",I679*(100%-$C$3),I679)))))</f>
        <v>11</v>
      </c>
      <c r="K679" s="556"/>
    </row>
    <row r="680" spans="1:11" s="61" customFormat="1" ht="12" customHeight="1" x14ac:dyDescent="0.2">
      <c r="A680" s="83" t="s">
        <v>0</v>
      </c>
      <c r="B680" s="4">
        <v>21813</v>
      </c>
      <c r="C680" s="4"/>
      <c r="D680" s="3" t="s">
        <v>454</v>
      </c>
      <c r="E680" s="3" t="s">
        <v>7</v>
      </c>
      <c r="F680" s="4" t="s">
        <v>346</v>
      </c>
      <c r="G680" s="3" t="s">
        <v>450</v>
      </c>
      <c r="H680" s="3" t="s">
        <v>767</v>
      </c>
      <c r="I680" s="5">
        <v>10</v>
      </c>
      <c r="J680" s="23">
        <f>IF(I680="on request","on request",IF(F680="Box",I680*(100%-$C$3),IF(F680="License",I680*(100%-$C$4),IF(F680="Renewal",I680*(100%-$C$5),IF(F680="ESD",I680*(100%-$C$3),I680)))))</f>
        <v>10</v>
      </c>
      <c r="K680" s="556"/>
    </row>
    <row r="681" spans="1:11" s="61" customFormat="1" ht="12" customHeight="1" x14ac:dyDescent="0.2">
      <c r="A681" s="83" t="s">
        <v>0</v>
      </c>
      <c r="B681" s="4">
        <v>21814</v>
      </c>
      <c r="C681" s="4"/>
      <c r="D681" s="3" t="s">
        <v>455</v>
      </c>
      <c r="E681" s="3" t="s">
        <v>9</v>
      </c>
      <c r="F681" s="4" t="s">
        <v>346</v>
      </c>
      <c r="G681" s="3" t="s">
        <v>450</v>
      </c>
      <c r="H681" s="3" t="s">
        <v>767</v>
      </c>
      <c r="I681" s="5">
        <v>9</v>
      </c>
      <c r="J681" s="23">
        <f>IF(I681="on request","on request",IF(F681="Box",I681*(100%-$C$3),IF(F681="License",I681*(100%-$C$4),IF(F681="Renewal",I681*(100%-$C$5),IF(F681="ESD",I681*(100%-$C$3),I681)))))</f>
        <v>9</v>
      </c>
      <c r="K681" s="556"/>
    </row>
    <row r="682" spans="1:11" s="61" customFormat="1" ht="12" customHeight="1" thickBot="1" x14ac:dyDescent="0.25">
      <c r="A682" s="84" t="s">
        <v>0</v>
      </c>
      <c r="B682" s="24">
        <v>21815</v>
      </c>
      <c r="C682" s="24"/>
      <c r="D682" s="25" t="s">
        <v>456</v>
      </c>
      <c r="E682" s="25" t="s">
        <v>451</v>
      </c>
      <c r="F682" s="24" t="s">
        <v>346</v>
      </c>
      <c r="G682" s="25" t="s">
        <v>450</v>
      </c>
      <c r="H682" s="25" t="s">
        <v>767</v>
      </c>
      <c r="I682" s="26">
        <v>7.5</v>
      </c>
      <c r="J682" s="27">
        <f>IF(I682="on request","on request",IF(F682="Box",I682*(100%-$C$3),IF(F682="License",I682*(100%-$C$4),IF(F682="Renewal",I682*(100%-$C$5),IF(F682="ESD",I682*(100%-$C$3),I682)))))</f>
        <v>7.5</v>
      </c>
      <c r="K682" s="556"/>
    </row>
    <row r="683" spans="1:11" s="61" customFormat="1" ht="12" customHeight="1" x14ac:dyDescent="0.2">
      <c r="A683" s="113" t="s">
        <v>799</v>
      </c>
      <c r="B683" s="136"/>
      <c r="C683" s="136"/>
      <c r="D683" s="136"/>
      <c r="E683" s="136"/>
      <c r="F683" s="136"/>
      <c r="G683" s="136"/>
      <c r="H683" s="136"/>
      <c r="I683" s="136"/>
      <c r="J683" s="137"/>
      <c r="K683" s="556"/>
    </row>
    <row r="684" spans="1:11" s="61" customFormat="1" ht="12" customHeight="1" x14ac:dyDescent="0.2">
      <c r="A684" s="79" t="s">
        <v>0</v>
      </c>
      <c r="B684" s="7">
        <v>21861</v>
      </c>
      <c r="C684" s="7"/>
      <c r="D684" s="13" t="s">
        <v>457</v>
      </c>
      <c r="E684" s="6" t="s">
        <v>464</v>
      </c>
      <c r="F684" s="138" t="s">
        <v>347</v>
      </c>
      <c r="G684" s="6" t="s">
        <v>450</v>
      </c>
      <c r="H684" s="13" t="s">
        <v>770</v>
      </c>
      <c r="I684" s="58">
        <v>9.3800000000000008</v>
      </c>
      <c r="J684" s="19">
        <f>IF(I684="on request","on request",IF(F684="Box",I684*(100%-$C$3),IF(F684="License",I684*(100%-$C$4),IF(F684="Renewal",I684*(100%-$C$5),IF(F684="ESD",I684*(100%-$C$3),I684)))))</f>
        <v>9.3800000000000008</v>
      </c>
      <c r="K684" s="556"/>
    </row>
    <row r="685" spans="1:11" s="61" customFormat="1" ht="12" customHeight="1" x14ac:dyDescent="0.2">
      <c r="A685" s="79" t="s">
        <v>0</v>
      </c>
      <c r="B685" s="7">
        <v>21862</v>
      </c>
      <c r="C685" s="7"/>
      <c r="D685" s="13" t="s">
        <v>458</v>
      </c>
      <c r="E685" s="6" t="s">
        <v>38</v>
      </c>
      <c r="F685" s="138" t="s">
        <v>347</v>
      </c>
      <c r="G685" s="6" t="s">
        <v>450</v>
      </c>
      <c r="H685" s="13" t="s">
        <v>770</v>
      </c>
      <c r="I685" s="58">
        <v>8.25</v>
      </c>
      <c r="J685" s="19">
        <f>IF(I685="on request","on request",IF(F685="Box",I685*(100%-$C$3),IF(F685="License",I685*(100%-$C$4),IF(F685="Renewal",I685*(100%-$C$5),IF(F685="ESD",I685*(100%-$C$3),I685)))))</f>
        <v>8.25</v>
      </c>
      <c r="K685" s="556"/>
    </row>
    <row r="686" spans="1:11" s="61" customFormat="1" ht="12" customHeight="1" x14ac:dyDescent="0.2">
      <c r="A686" s="79" t="s">
        <v>0</v>
      </c>
      <c r="B686" s="7">
        <v>21863</v>
      </c>
      <c r="C686" s="7"/>
      <c r="D686" s="13" t="s">
        <v>459</v>
      </c>
      <c r="E686" s="6" t="s">
        <v>40</v>
      </c>
      <c r="F686" s="138" t="s">
        <v>347</v>
      </c>
      <c r="G686" s="6" t="s">
        <v>450</v>
      </c>
      <c r="H686" s="13" t="s">
        <v>770</v>
      </c>
      <c r="I686" s="58">
        <v>7.5</v>
      </c>
      <c r="J686" s="19">
        <f>IF(I686="on request","on request",IF(F686="Box",I686*(100%-$C$3),IF(F686="License",I686*(100%-$C$4),IF(F686="Renewal",I686*(100%-$C$5),IF(F686="ESD",I686*(100%-$C$3),I686)))))</f>
        <v>7.5</v>
      </c>
      <c r="K686" s="556"/>
    </row>
    <row r="687" spans="1:11" s="61" customFormat="1" ht="12" customHeight="1" x14ac:dyDescent="0.2">
      <c r="A687" s="79" t="s">
        <v>0</v>
      </c>
      <c r="B687" s="7">
        <v>21864</v>
      </c>
      <c r="C687" s="7"/>
      <c r="D687" s="13" t="s">
        <v>460</v>
      </c>
      <c r="E687" s="6" t="s">
        <v>42</v>
      </c>
      <c r="F687" s="138" t="s">
        <v>347</v>
      </c>
      <c r="G687" s="6" t="s">
        <v>450</v>
      </c>
      <c r="H687" s="13" t="s">
        <v>770</v>
      </c>
      <c r="I687" s="58">
        <v>6.75</v>
      </c>
      <c r="J687" s="19">
        <f>IF(I687="on request","on request",IF(F687="Box",I687*(100%-$C$3),IF(F687="License",I687*(100%-$C$4),IF(F687="Renewal",I687*(100%-$C$5),IF(F687="ESD",I687*(100%-$C$3),I687)))))</f>
        <v>6.75</v>
      </c>
      <c r="K687" s="556"/>
    </row>
    <row r="688" spans="1:11" s="61" customFormat="1" ht="12" customHeight="1" thickBot="1" x14ac:dyDescent="0.25">
      <c r="A688" s="80" t="s">
        <v>0</v>
      </c>
      <c r="B688" s="20">
        <v>21865</v>
      </c>
      <c r="C688" s="20"/>
      <c r="D688" s="139" t="s">
        <v>461</v>
      </c>
      <c r="E688" s="21" t="s">
        <v>462</v>
      </c>
      <c r="F688" s="140" t="s">
        <v>347</v>
      </c>
      <c r="G688" s="21" t="s">
        <v>450</v>
      </c>
      <c r="H688" s="139" t="s">
        <v>770</v>
      </c>
      <c r="I688" s="59">
        <v>5.5</v>
      </c>
      <c r="J688" s="22">
        <f>IF(I688="on request","on request",IF(F688="Box",I688*(100%-$C$3),IF(F688="License",I688*(100%-$C$4),IF(F688="Renewal",I688*(100%-$C$5),IF(F688="ESD",I688*(100%-$C$3),I688)))))</f>
        <v>5.5</v>
      </c>
      <c r="K688" s="556"/>
    </row>
    <row r="689" spans="1:11" s="61" customFormat="1" ht="12" customHeight="1" x14ac:dyDescent="0.2">
      <c r="A689" s="116" t="s">
        <v>800</v>
      </c>
      <c r="B689" s="117"/>
      <c r="C689" s="117"/>
      <c r="D689" s="117"/>
      <c r="E689" s="117"/>
      <c r="F689" s="117"/>
      <c r="G689" s="117"/>
      <c r="H689" s="117"/>
      <c r="I689" s="117"/>
      <c r="J689" s="118"/>
      <c r="K689" s="556"/>
    </row>
    <row r="690" spans="1:11" ht="12" customHeight="1" x14ac:dyDescent="0.2">
      <c r="A690" s="93" t="s">
        <v>0</v>
      </c>
      <c r="B690" s="48">
        <v>20011</v>
      </c>
      <c r="C690" s="119"/>
      <c r="D690" s="49" t="s">
        <v>656</v>
      </c>
      <c r="E690" s="49" t="s">
        <v>657</v>
      </c>
      <c r="F690" s="48" t="s">
        <v>346</v>
      </c>
      <c r="G690" s="49" t="s">
        <v>348</v>
      </c>
      <c r="H690" s="49" t="s">
        <v>767</v>
      </c>
      <c r="I690" s="50">
        <v>14.8</v>
      </c>
      <c r="J690" s="120">
        <f t="shared" ref="J690:J707" si="26">IF(I690="on request","on request",IF(F690="Box",I690*(100%-$C$3),IF(F690="License",I690*(100%-$C$4),IF(F690="Renewal",I690*(100%-$C$5),IF(F690="ESD",I690*(100%-$C$3),I690)))))</f>
        <v>14.8</v>
      </c>
    </row>
    <row r="691" spans="1:11" ht="12" customHeight="1" x14ac:dyDescent="0.2">
      <c r="A691" s="93" t="s">
        <v>0</v>
      </c>
      <c r="B691" s="48">
        <v>20013</v>
      </c>
      <c r="C691" s="119"/>
      <c r="D691" s="49" t="s">
        <v>465</v>
      </c>
      <c r="E691" s="49" t="s">
        <v>468</v>
      </c>
      <c r="F691" s="48" t="s">
        <v>346</v>
      </c>
      <c r="G691" s="49" t="s">
        <v>348</v>
      </c>
      <c r="H691" s="49" t="s">
        <v>767</v>
      </c>
      <c r="I691" s="50">
        <v>13</v>
      </c>
      <c r="J691" s="120">
        <f t="shared" si="26"/>
        <v>13</v>
      </c>
    </row>
    <row r="692" spans="1:11" ht="12" customHeight="1" x14ac:dyDescent="0.2">
      <c r="A692" s="93" t="s">
        <v>0</v>
      </c>
      <c r="B692" s="48">
        <v>20021</v>
      </c>
      <c r="C692" s="119"/>
      <c r="D692" s="49" t="s">
        <v>658</v>
      </c>
      <c r="E692" s="49" t="s">
        <v>657</v>
      </c>
      <c r="F692" s="48" t="s">
        <v>346</v>
      </c>
      <c r="G692" s="49" t="s">
        <v>348</v>
      </c>
      <c r="H692" s="49" t="s">
        <v>768</v>
      </c>
      <c r="I692" s="50">
        <v>27</v>
      </c>
      <c r="J692" s="120">
        <f t="shared" si="26"/>
        <v>27</v>
      </c>
    </row>
    <row r="693" spans="1:11" ht="12" customHeight="1" x14ac:dyDescent="0.2">
      <c r="A693" s="93" t="s">
        <v>0</v>
      </c>
      <c r="B693" s="48">
        <v>20023</v>
      </c>
      <c r="C693" s="119"/>
      <c r="D693" s="49" t="s">
        <v>466</v>
      </c>
      <c r="E693" s="49" t="s">
        <v>468</v>
      </c>
      <c r="F693" s="48" t="s">
        <v>346</v>
      </c>
      <c r="G693" s="49" t="s">
        <v>348</v>
      </c>
      <c r="H693" s="49" t="s">
        <v>768</v>
      </c>
      <c r="I693" s="50">
        <v>23</v>
      </c>
      <c r="J693" s="120">
        <f t="shared" si="26"/>
        <v>23</v>
      </c>
    </row>
    <row r="694" spans="1:11" ht="12" customHeight="1" x14ac:dyDescent="0.2">
      <c r="A694" s="93" t="s">
        <v>0</v>
      </c>
      <c r="B694" s="48">
        <v>20031</v>
      </c>
      <c r="C694" s="119"/>
      <c r="D694" s="49" t="s">
        <v>659</v>
      </c>
      <c r="E694" s="49" t="s">
        <v>657</v>
      </c>
      <c r="F694" s="48" t="s">
        <v>346</v>
      </c>
      <c r="G694" s="49" t="s">
        <v>348</v>
      </c>
      <c r="H694" s="49" t="s">
        <v>769</v>
      </c>
      <c r="I694" s="50">
        <v>39</v>
      </c>
      <c r="J694" s="120">
        <f t="shared" si="26"/>
        <v>39</v>
      </c>
    </row>
    <row r="695" spans="1:11" ht="12" customHeight="1" x14ac:dyDescent="0.2">
      <c r="A695" s="93" t="s">
        <v>0</v>
      </c>
      <c r="B695" s="48">
        <v>20033</v>
      </c>
      <c r="C695" s="119"/>
      <c r="D695" s="49" t="s">
        <v>467</v>
      </c>
      <c r="E695" s="49" t="s">
        <v>468</v>
      </c>
      <c r="F695" s="48" t="s">
        <v>346</v>
      </c>
      <c r="G695" s="49" t="s">
        <v>348</v>
      </c>
      <c r="H695" s="49" t="s">
        <v>769</v>
      </c>
      <c r="I695" s="50">
        <v>33</v>
      </c>
      <c r="J695" s="120">
        <f t="shared" si="26"/>
        <v>33</v>
      </c>
    </row>
    <row r="696" spans="1:11" ht="12" customHeight="1" x14ac:dyDescent="0.2">
      <c r="A696" s="93" t="s">
        <v>0</v>
      </c>
      <c r="B696" s="48">
        <v>20111</v>
      </c>
      <c r="C696" s="119"/>
      <c r="D696" s="49" t="s">
        <v>660</v>
      </c>
      <c r="E696" s="49" t="s">
        <v>657</v>
      </c>
      <c r="F696" s="48" t="s">
        <v>346</v>
      </c>
      <c r="G696" s="49" t="s">
        <v>349</v>
      </c>
      <c r="H696" s="49" t="s">
        <v>767</v>
      </c>
      <c r="I696" s="50">
        <v>15.8</v>
      </c>
      <c r="J696" s="120">
        <f t="shared" si="26"/>
        <v>15.8</v>
      </c>
    </row>
    <row r="697" spans="1:11" s="61" customFormat="1" ht="12" customHeight="1" x14ac:dyDescent="0.2">
      <c r="A697" s="93" t="s">
        <v>0</v>
      </c>
      <c r="B697" s="48">
        <v>20113</v>
      </c>
      <c r="C697" s="119"/>
      <c r="D697" s="49" t="s">
        <v>469</v>
      </c>
      <c r="E697" s="49" t="s">
        <v>468</v>
      </c>
      <c r="F697" s="48" t="s">
        <v>346</v>
      </c>
      <c r="G697" s="49" t="s">
        <v>349</v>
      </c>
      <c r="H697" s="49" t="s">
        <v>767</v>
      </c>
      <c r="I697" s="50">
        <v>14</v>
      </c>
      <c r="J697" s="120">
        <f t="shared" si="26"/>
        <v>14</v>
      </c>
      <c r="K697" s="556"/>
    </row>
    <row r="698" spans="1:11" ht="12" customHeight="1" x14ac:dyDescent="0.2">
      <c r="A698" s="93" t="s">
        <v>0</v>
      </c>
      <c r="B698" s="48">
        <v>20121</v>
      </c>
      <c r="C698" s="119"/>
      <c r="D698" s="49" t="s">
        <v>661</v>
      </c>
      <c r="E698" s="49" t="s">
        <v>657</v>
      </c>
      <c r="F698" s="48" t="s">
        <v>346</v>
      </c>
      <c r="G698" s="49" t="s">
        <v>349</v>
      </c>
      <c r="H698" s="49" t="s">
        <v>768</v>
      </c>
      <c r="I698" s="50">
        <v>29</v>
      </c>
      <c r="J698" s="120">
        <f t="shared" si="26"/>
        <v>29</v>
      </c>
    </row>
    <row r="699" spans="1:11" s="61" customFormat="1" ht="12" customHeight="1" x14ac:dyDescent="0.2">
      <c r="A699" s="93" t="s">
        <v>0</v>
      </c>
      <c r="B699" s="48">
        <v>20123</v>
      </c>
      <c r="C699" s="119"/>
      <c r="D699" s="49" t="s">
        <v>470</v>
      </c>
      <c r="E699" s="49" t="s">
        <v>468</v>
      </c>
      <c r="F699" s="48" t="s">
        <v>346</v>
      </c>
      <c r="G699" s="49" t="s">
        <v>349</v>
      </c>
      <c r="H699" s="49" t="s">
        <v>768</v>
      </c>
      <c r="I699" s="50">
        <v>25</v>
      </c>
      <c r="J699" s="120">
        <f t="shared" si="26"/>
        <v>25</v>
      </c>
      <c r="K699" s="556"/>
    </row>
    <row r="700" spans="1:11" ht="12" customHeight="1" x14ac:dyDescent="0.2">
      <c r="A700" s="93" t="s">
        <v>0</v>
      </c>
      <c r="B700" s="48">
        <v>20131</v>
      </c>
      <c r="C700" s="119"/>
      <c r="D700" s="49" t="s">
        <v>662</v>
      </c>
      <c r="E700" s="49" t="s">
        <v>657</v>
      </c>
      <c r="F700" s="48" t="s">
        <v>346</v>
      </c>
      <c r="G700" s="49" t="s">
        <v>349</v>
      </c>
      <c r="H700" s="49" t="s">
        <v>769</v>
      </c>
      <c r="I700" s="50">
        <v>39</v>
      </c>
      <c r="J700" s="120">
        <f t="shared" si="26"/>
        <v>39</v>
      </c>
    </row>
    <row r="701" spans="1:11" s="61" customFormat="1" ht="12" customHeight="1" x14ac:dyDescent="0.2">
      <c r="A701" s="93" t="s">
        <v>0</v>
      </c>
      <c r="B701" s="48">
        <v>20133</v>
      </c>
      <c r="C701" s="119"/>
      <c r="D701" s="49" t="s">
        <v>471</v>
      </c>
      <c r="E701" s="49" t="s">
        <v>468</v>
      </c>
      <c r="F701" s="48" t="s">
        <v>346</v>
      </c>
      <c r="G701" s="49" t="s">
        <v>349</v>
      </c>
      <c r="H701" s="49" t="s">
        <v>769</v>
      </c>
      <c r="I701" s="50">
        <v>34</v>
      </c>
      <c r="J701" s="120">
        <f t="shared" si="26"/>
        <v>34</v>
      </c>
      <c r="K701" s="556"/>
    </row>
    <row r="702" spans="1:11" ht="12" customHeight="1" x14ac:dyDescent="0.2">
      <c r="A702" s="93" t="s">
        <v>0</v>
      </c>
      <c r="B702" s="48">
        <v>21711</v>
      </c>
      <c r="C702" s="119"/>
      <c r="D702" s="49" t="s">
        <v>663</v>
      </c>
      <c r="E702" s="49" t="s">
        <v>657</v>
      </c>
      <c r="F702" s="48" t="s">
        <v>346</v>
      </c>
      <c r="G702" s="49" t="s">
        <v>350</v>
      </c>
      <c r="H702" s="49" t="s">
        <v>767</v>
      </c>
      <c r="I702" s="50">
        <v>18</v>
      </c>
      <c r="J702" s="120">
        <f t="shared" si="26"/>
        <v>18</v>
      </c>
    </row>
    <row r="703" spans="1:11" s="61" customFormat="1" ht="12" customHeight="1" x14ac:dyDescent="0.2">
      <c r="A703" s="93" t="s">
        <v>0</v>
      </c>
      <c r="B703" s="48">
        <v>21713</v>
      </c>
      <c r="C703" s="119"/>
      <c r="D703" s="49" t="s">
        <v>472</v>
      </c>
      <c r="E703" s="49" t="s">
        <v>468</v>
      </c>
      <c r="F703" s="48" t="s">
        <v>346</v>
      </c>
      <c r="G703" s="49" t="s">
        <v>350</v>
      </c>
      <c r="H703" s="49" t="s">
        <v>767</v>
      </c>
      <c r="I703" s="50">
        <v>16</v>
      </c>
      <c r="J703" s="120">
        <f t="shared" si="26"/>
        <v>16</v>
      </c>
      <c r="K703" s="556"/>
    </row>
    <row r="704" spans="1:11" s="61" customFormat="1" ht="12" customHeight="1" x14ac:dyDescent="0.2">
      <c r="A704" s="93" t="s">
        <v>0</v>
      </c>
      <c r="B704" s="48">
        <v>21721</v>
      </c>
      <c r="C704" s="119"/>
      <c r="D704" s="49" t="s">
        <v>664</v>
      </c>
      <c r="E704" s="49" t="s">
        <v>657</v>
      </c>
      <c r="F704" s="48" t="s">
        <v>346</v>
      </c>
      <c r="G704" s="49" t="s">
        <v>350</v>
      </c>
      <c r="H704" s="49" t="s">
        <v>768</v>
      </c>
      <c r="I704" s="50">
        <v>32</v>
      </c>
      <c r="J704" s="120">
        <f t="shared" si="26"/>
        <v>32</v>
      </c>
      <c r="K704" s="556"/>
    </row>
    <row r="705" spans="1:11" s="61" customFormat="1" ht="12" customHeight="1" x14ac:dyDescent="0.2">
      <c r="A705" s="93" t="s">
        <v>0</v>
      </c>
      <c r="B705" s="48">
        <v>21723</v>
      </c>
      <c r="C705" s="119"/>
      <c r="D705" s="49" t="s">
        <v>473</v>
      </c>
      <c r="E705" s="49" t="s">
        <v>468</v>
      </c>
      <c r="F705" s="48" t="s">
        <v>346</v>
      </c>
      <c r="G705" s="49" t="s">
        <v>350</v>
      </c>
      <c r="H705" s="49" t="s">
        <v>768</v>
      </c>
      <c r="I705" s="50">
        <v>28</v>
      </c>
      <c r="J705" s="120">
        <f t="shared" si="26"/>
        <v>28</v>
      </c>
      <c r="K705" s="556"/>
    </row>
    <row r="706" spans="1:11" s="61" customFormat="1" ht="12" customHeight="1" x14ac:dyDescent="0.2">
      <c r="A706" s="93" t="s">
        <v>0</v>
      </c>
      <c r="B706" s="48">
        <v>21731</v>
      </c>
      <c r="C706" s="119"/>
      <c r="D706" s="49" t="s">
        <v>665</v>
      </c>
      <c r="E706" s="49" t="s">
        <v>657</v>
      </c>
      <c r="F706" s="48" t="s">
        <v>346</v>
      </c>
      <c r="G706" s="49" t="s">
        <v>350</v>
      </c>
      <c r="H706" s="49" t="s">
        <v>769</v>
      </c>
      <c r="I706" s="50">
        <v>43</v>
      </c>
      <c r="J706" s="120">
        <f t="shared" si="26"/>
        <v>43</v>
      </c>
      <c r="K706" s="556"/>
    </row>
    <row r="707" spans="1:11" s="61" customFormat="1" ht="12" customHeight="1" thickBot="1" x14ac:dyDescent="0.25">
      <c r="A707" s="121" t="s">
        <v>0</v>
      </c>
      <c r="B707" s="122">
        <v>21733</v>
      </c>
      <c r="C707" s="123"/>
      <c r="D707" s="124" t="s">
        <v>474</v>
      </c>
      <c r="E707" s="124" t="s">
        <v>468</v>
      </c>
      <c r="F707" s="122" t="s">
        <v>346</v>
      </c>
      <c r="G707" s="124" t="s">
        <v>350</v>
      </c>
      <c r="H707" s="124" t="s">
        <v>769</v>
      </c>
      <c r="I707" s="125">
        <v>37</v>
      </c>
      <c r="J707" s="126">
        <f t="shared" si="26"/>
        <v>37</v>
      </c>
      <c r="K707" s="556"/>
    </row>
    <row r="708" spans="1:11" s="61" customFormat="1" ht="12" customHeight="1" x14ac:dyDescent="0.2">
      <c r="A708" s="116" t="s">
        <v>801</v>
      </c>
      <c r="B708" s="117"/>
      <c r="C708" s="117"/>
      <c r="D708" s="117"/>
      <c r="E708" s="117"/>
      <c r="F708" s="117"/>
      <c r="G708" s="117"/>
      <c r="H708" s="117"/>
      <c r="I708" s="117"/>
      <c r="J708" s="118"/>
      <c r="K708" s="556"/>
    </row>
    <row r="709" spans="1:11" ht="12" customHeight="1" x14ac:dyDescent="0.2">
      <c r="A709" s="94" t="s">
        <v>0</v>
      </c>
      <c r="B709" s="52">
        <v>20061</v>
      </c>
      <c r="C709" s="52"/>
      <c r="D709" s="12" t="s">
        <v>667</v>
      </c>
      <c r="E709" s="53" t="s">
        <v>666</v>
      </c>
      <c r="F709" s="70" t="s">
        <v>347</v>
      </c>
      <c r="G709" s="53" t="s">
        <v>348</v>
      </c>
      <c r="H709" s="12" t="s">
        <v>770</v>
      </c>
      <c r="I709" s="60">
        <v>13</v>
      </c>
      <c r="J709" s="51">
        <f t="shared" ref="J709:J726" si="27">IF(I709="on request","on request",IF(F709="Box",I709*(100%-$C$3),IF(F709="License",I709*(100%-$C$4),IF(F709="Renewal",I709*(100%-$C$5),IF(F709="ESD",I709*(100%-$C$3),I709)))))</f>
        <v>13</v>
      </c>
    </row>
    <row r="710" spans="1:11" ht="12" customHeight="1" x14ac:dyDescent="0.2">
      <c r="A710" s="94" t="s">
        <v>0</v>
      </c>
      <c r="B710" s="52">
        <v>20063</v>
      </c>
      <c r="C710" s="52"/>
      <c r="D710" s="12" t="s">
        <v>476</v>
      </c>
      <c r="E710" s="53" t="s">
        <v>475</v>
      </c>
      <c r="F710" s="70" t="s">
        <v>347</v>
      </c>
      <c r="G710" s="53" t="s">
        <v>348</v>
      </c>
      <c r="H710" s="12" t="s">
        <v>770</v>
      </c>
      <c r="I710" s="60">
        <v>11</v>
      </c>
      <c r="J710" s="51">
        <f t="shared" si="27"/>
        <v>11</v>
      </c>
    </row>
    <row r="711" spans="1:11" ht="12" customHeight="1" x14ac:dyDescent="0.2">
      <c r="A711" s="94" t="s">
        <v>0</v>
      </c>
      <c r="B711" s="52">
        <v>20071</v>
      </c>
      <c r="C711" s="52"/>
      <c r="D711" s="12" t="s">
        <v>668</v>
      </c>
      <c r="E711" s="53" t="s">
        <v>666</v>
      </c>
      <c r="F711" s="70" t="s">
        <v>347</v>
      </c>
      <c r="G711" s="53" t="s">
        <v>348</v>
      </c>
      <c r="H711" s="12" t="s">
        <v>771</v>
      </c>
      <c r="I711" s="60">
        <v>22.75</v>
      </c>
      <c r="J711" s="51">
        <f t="shared" si="27"/>
        <v>22.75</v>
      </c>
    </row>
    <row r="712" spans="1:11" ht="12" customHeight="1" x14ac:dyDescent="0.2">
      <c r="A712" s="94" t="s">
        <v>0</v>
      </c>
      <c r="B712" s="52">
        <v>20073</v>
      </c>
      <c r="C712" s="52"/>
      <c r="D712" s="12" t="s">
        <v>477</v>
      </c>
      <c r="E712" s="53" t="s">
        <v>475</v>
      </c>
      <c r="F712" s="70" t="s">
        <v>347</v>
      </c>
      <c r="G712" s="53" t="s">
        <v>348</v>
      </c>
      <c r="H712" s="12" t="s">
        <v>771</v>
      </c>
      <c r="I712" s="60">
        <v>19.25</v>
      </c>
      <c r="J712" s="51">
        <f t="shared" si="27"/>
        <v>19.25</v>
      </c>
    </row>
    <row r="713" spans="1:11" ht="12" customHeight="1" x14ac:dyDescent="0.2">
      <c r="A713" s="94" t="s">
        <v>0</v>
      </c>
      <c r="B713" s="52">
        <v>20081</v>
      </c>
      <c r="C713" s="52"/>
      <c r="D713" s="12" t="s">
        <v>669</v>
      </c>
      <c r="E713" s="53" t="s">
        <v>666</v>
      </c>
      <c r="F713" s="70" t="s">
        <v>347</v>
      </c>
      <c r="G713" s="53" t="s">
        <v>348</v>
      </c>
      <c r="H713" s="12" t="s">
        <v>772</v>
      </c>
      <c r="I713" s="60">
        <v>32.5</v>
      </c>
      <c r="J713" s="51">
        <f t="shared" si="27"/>
        <v>32.5</v>
      </c>
    </row>
    <row r="714" spans="1:11" ht="12" customHeight="1" x14ac:dyDescent="0.2">
      <c r="A714" s="94" t="s">
        <v>0</v>
      </c>
      <c r="B714" s="52">
        <v>20083</v>
      </c>
      <c r="C714" s="52"/>
      <c r="D714" s="12" t="s">
        <v>478</v>
      </c>
      <c r="E714" s="53" t="s">
        <v>475</v>
      </c>
      <c r="F714" s="70" t="s">
        <v>347</v>
      </c>
      <c r="G714" s="53" t="s">
        <v>348</v>
      </c>
      <c r="H714" s="12" t="s">
        <v>772</v>
      </c>
      <c r="I714" s="60">
        <v>27.5</v>
      </c>
      <c r="J714" s="51">
        <f t="shared" si="27"/>
        <v>27.5</v>
      </c>
    </row>
    <row r="715" spans="1:11" ht="12" customHeight="1" x14ac:dyDescent="0.2">
      <c r="A715" s="94" t="s">
        <v>0</v>
      </c>
      <c r="B715" s="52">
        <v>20161</v>
      </c>
      <c r="C715" s="52"/>
      <c r="D715" s="12" t="s">
        <v>670</v>
      </c>
      <c r="E715" s="53" t="s">
        <v>666</v>
      </c>
      <c r="F715" s="70" t="s">
        <v>347</v>
      </c>
      <c r="G715" s="53" t="s">
        <v>349</v>
      </c>
      <c r="H715" s="12" t="s">
        <v>770</v>
      </c>
      <c r="I715" s="60">
        <v>14</v>
      </c>
      <c r="J715" s="51">
        <f t="shared" si="27"/>
        <v>14</v>
      </c>
    </row>
    <row r="716" spans="1:11" ht="12" customHeight="1" x14ac:dyDescent="0.2">
      <c r="A716" s="94" t="s">
        <v>0</v>
      </c>
      <c r="B716" s="52">
        <v>20163</v>
      </c>
      <c r="C716" s="52"/>
      <c r="D716" s="12" t="s">
        <v>479</v>
      </c>
      <c r="E716" s="53" t="s">
        <v>475</v>
      </c>
      <c r="F716" s="70" t="s">
        <v>347</v>
      </c>
      <c r="G716" s="53" t="s">
        <v>349</v>
      </c>
      <c r="H716" s="12" t="s">
        <v>770</v>
      </c>
      <c r="I716" s="60">
        <v>12</v>
      </c>
      <c r="J716" s="51">
        <f t="shared" si="27"/>
        <v>12</v>
      </c>
    </row>
    <row r="717" spans="1:11" ht="12" customHeight="1" x14ac:dyDescent="0.2">
      <c r="A717" s="94" t="s">
        <v>0</v>
      </c>
      <c r="B717" s="52">
        <v>20171</v>
      </c>
      <c r="C717" s="52"/>
      <c r="D717" s="12" t="s">
        <v>671</v>
      </c>
      <c r="E717" s="53" t="s">
        <v>666</v>
      </c>
      <c r="F717" s="70" t="s">
        <v>347</v>
      </c>
      <c r="G717" s="53" t="s">
        <v>349</v>
      </c>
      <c r="H717" s="12" t="s">
        <v>771</v>
      </c>
      <c r="I717" s="60">
        <v>24.5</v>
      </c>
      <c r="J717" s="51">
        <f t="shared" si="27"/>
        <v>24.5</v>
      </c>
    </row>
    <row r="718" spans="1:11" ht="12" customHeight="1" x14ac:dyDescent="0.2">
      <c r="A718" s="94" t="s">
        <v>0</v>
      </c>
      <c r="B718" s="52">
        <v>20173</v>
      </c>
      <c r="C718" s="52"/>
      <c r="D718" s="12" t="s">
        <v>480</v>
      </c>
      <c r="E718" s="53" t="s">
        <v>475</v>
      </c>
      <c r="F718" s="70" t="s">
        <v>347</v>
      </c>
      <c r="G718" s="53" t="s">
        <v>349</v>
      </c>
      <c r="H718" s="12" t="s">
        <v>771</v>
      </c>
      <c r="I718" s="60">
        <v>21</v>
      </c>
      <c r="J718" s="51">
        <f t="shared" si="27"/>
        <v>21</v>
      </c>
    </row>
    <row r="719" spans="1:11" ht="12" customHeight="1" x14ac:dyDescent="0.2">
      <c r="A719" s="94" t="s">
        <v>0</v>
      </c>
      <c r="B719" s="52">
        <v>20181</v>
      </c>
      <c r="C719" s="52"/>
      <c r="D719" s="12" t="s">
        <v>672</v>
      </c>
      <c r="E719" s="53" t="s">
        <v>666</v>
      </c>
      <c r="F719" s="70" t="s">
        <v>347</v>
      </c>
      <c r="G719" s="53" t="s">
        <v>349</v>
      </c>
      <c r="H719" s="12" t="s">
        <v>772</v>
      </c>
      <c r="I719" s="60">
        <v>35</v>
      </c>
      <c r="J719" s="51">
        <f t="shared" si="27"/>
        <v>35</v>
      </c>
    </row>
    <row r="720" spans="1:11" ht="12" customHeight="1" x14ac:dyDescent="0.2">
      <c r="A720" s="94" t="s">
        <v>0</v>
      </c>
      <c r="B720" s="52">
        <v>20183</v>
      </c>
      <c r="C720" s="52"/>
      <c r="D720" s="12" t="s">
        <v>481</v>
      </c>
      <c r="E720" s="53" t="s">
        <v>475</v>
      </c>
      <c r="F720" s="70" t="s">
        <v>347</v>
      </c>
      <c r="G720" s="53" t="s">
        <v>349</v>
      </c>
      <c r="H720" s="12" t="s">
        <v>772</v>
      </c>
      <c r="I720" s="60">
        <v>30</v>
      </c>
      <c r="J720" s="51">
        <f t="shared" si="27"/>
        <v>30</v>
      </c>
    </row>
    <row r="721" spans="1:11" ht="12" customHeight="1" x14ac:dyDescent="0.2">
      <c r="A721" s="94" t="s">
        <v>0</v>
      </c>
      <c r="B721" s="52">
        <v>21761</v>
      </c>
      <c r="C721" s="52"/>
      <c r="D721" s="12" t="s">
        <v>673</v>
      </c>
      <c r="E721" s="53" t="s">
        <v>666</v>
      </c>
      <c r="F721" s="70" t="s">
        <v>347</v>
      </c>
      <c r="G721" s="53" t="s">
        <v>350</v>
      </c>
      <c r="H721" s="12" t="s">
        <v>770</v>
      </c>
      <c r="I721" s="60">
        <v>15</v>
      </c>
      <c r="J721" s="51">
        <f t="shared" si="27"/>
        <v>15</v>
      </c>
    </row>
    <row r="722" spans="1:11" ht="12" customHeight="1" x14ac:dyDescent="0.2">
      <c r="A722" s="94" t="s">
        <v>0</v>
      </c>
      <c r="B722" s="52">
        <v>21763</v>
      </c>
      <c r="C722" s="52"/>
      <c r="D722" s="12" t="s">
        <v>482</v>
      </c>
      <c r="E722" s="53" t="s">
        <v>475</v>
      </c>
      <c r="F722" s="70" t="s">
        <v>347</v>
      </c>
      <c r="G722" s="53" t="s">
        <v>350</v>
      </c>
      <c r="H722" s="12" t="s">
        <v>770</v>
      </c>
      <c r="I722" s="60">
        <v>13</v>
      </c>
      <c r="J722" s="51">
        <f t="shared" si="27"/>
        <v>13</v>
      </c>
    </row>
    <row r="723" spans="1:11" ht="12" customHeight="1" x14ac:dyDescent="0.2">
      <c r="A723" s="94" t="s">
        <v>0</v>
      </c>
      <c r="B723" s="52">
        <v>21771</v>
      </c>
      <c r="C723" s="52"/>
      <c r="D723" s="12" t="s">
        <v>674</v>
      </c>
      <c r="E723" s="53" t="s">
        <v>666</v>
      </c>
      <c r="F723" s="70" t="s">
        <v>347</v>
      </c>
      <c r="G723" s="53" t="s">
        <v>350</v>
      </c>
      <c r="H723" s="12" t="s">
        <v>771</v>
      </c>
      <c r="I723" s="60">
        <v>26.25</v>
      </c>
      <c r="J723" s="51">
        <f t="shared" si="27"/>
        <v>26.25</v>
      </c>
    </row>
    <row r="724" spans="1:11" ht="12" customHeight="1" x14ac:dyDescent="0.2">
      <c r="A724" s="94" t="s">
        <v>0</v>
      </c>
      <c r="B724" s="52">
        <v>21773</v>
      </c>
      <c r="C724" s="52"/>
      <c r="D724" s="12" t="s">
        <v>483</v>
      </c>
      <c r="E724" s="53" t="s">
        <v>475</v>
      </c>
      <c r="F724" s="70" t="s">
        <v>347</v>
      </c>
      <c r="G724" s="53" t="s">
        <v>350</v>
      </c>
      <c r="H724" s="12" t="s">
        <v>771</v>
      </c>
      <c r="I724" s="60">
        <v>22.75</v>
      </c>
      <c r="J724" s="51">
        <f t="shared" si="27"/>
        <v>22.75</v>
      </c>
    </row>
    <row r="725" spans="1:11" ht="12" customHeight="1" x14ac:dyDescent="0.2">
      <c r="A725" s="94" t="s">
        <v>0</v>
      </c>
      <c r="B725" s="52">
        <v>21781</v>
      </c>
      <c r="C725" s="52"/>
      <c r="D725" s="12" t="s">
        <v>675</v>
      </c>
      <c r="E725" s="53" t="s">
        <v>666</v>
      </c>
      <c r="F725" s="70" t="s">
        <v>347</v>
      </c>
      <c r="G725" s="53" t="s">
        <v>350</v>
      </c>
      <c r="H725" s="12" t="s">
        <v>772</v>
      </c>
      <c r="I725" s="60">
        <v>37.5</v>
      </c>
      <c r="J725" s="51">
        <f t="shared" si="27"/>
        <v>37.5</v>
      </c>
    </row>
    <row r="726" spans="1:11" ht="12" customHeight="1" thickBot="1" x14ac:dyDescent="0.25">
      <c r="A726" s="127" t="s">
        <v>0</v>
      </c>
      <c r="B726" s="128">
        <v>21783</v>
      </c>
      <c r="C726" s="128"/>
      <c r="D726" s="37" t="s">
        <v>484</v>
      </c>
      <c r="E726" s="53" t="s">
        <v>475</v>
      </c>
      <c r="F726" s="71" t="s">
        <v>347</v>
      </c>
      <c r="G726" s="129" t="s">
        <v>350</v>
      </c>
      <c r="H726" s="37" t="s">
        <v>772</v>
      </c>
      <c r="I726" s="130">
        <v>32.5</v>
      </c>
      <c r="J726" s="131">
        <f t="shared" si="27"/>
        <v>32.5</v>
      </c>
    </row>
    <row r="727" spans="1:11" s="61" customFormat="1" ht="12" customHeight="1" x14ac:dyDescent="0.2">
      <c r="A727" s="116" t="s">
        <v>689</v>
      </c>
      <c r="B727" s="117"/>
      <c r="C727" s="117"/>
      <c r="D727" s="117"/>
      <c r="E727" s="117"/>
      <c r="F727" s="117"/>
      <c r="G727" s="117"/>
      <c r="H727" s="117"/>
      <c r="I727" s="117"/>
      <c r="J727" s="118"/>
      <c r="K727" s="556"/>
    </row>
    <row r="728" spans="1:11" s="141" customFormat="1" ht="12" customHeight="1" x14ac:dyDescent="0.2">
      <c r="A728" s="93" t="s">
        <v>0</v>
      </c>
      <c r="B728" s="48">
        <v>22111</v>
      </c>
      <c r="C728" s="48"/>
      <c r="D728" s="49" t="s">
        <v>677</v>
      </c>
      <c r="E728" s="49" t="s">
        <v>2</v>
      </c>
      <c r="F728" s="48" t="s">
        <v>346</v>
      </c>
      <c r="G728" s="49" t="s">
        <v>678</v>
      </c>
      <c r="H728" s="487" t="s">
        <v>752</v>
      </c>
      <c r="I728" s="50">
        <v>37.5</v>
      </c>
      <c r="J728" s="120">
        <f t="shared" ref="J728:J751" si="28">IF(I728="on request","on request",IF(F728="Box",I728*(100%-$C$3),IF(F728="License",I728*(100%-$C$4),IF(F728="Renewal",I728*(100%-$C$5),IF(F728="ESD",I728*(100%-$C$3),I728)))))</f>
        <v>37.5</v>
      </c>
      <c r="K728" s="559" t="s">
        <v>940</v>
      </c>
    </row>
    <row r="729" spans="1:11" s="141" customFormat="1" ht="12" customHeight="1" x14ac:dyDescent="0.2">
      <c r="A729" s="93" t="s">
        <v>0</v>
      </c>
      <c r="B729" s="48">
        <v>22112</v>
      </c>
      <c r="C729" s="48"/>
      <c r="D729" s="49" t="s">
        <v>679</v>
      </c>
      <c r="E729" s="49" t="s">
        <v>5</v>
      </c>
      <c r="F729" s="48" t="s">
        <v>346</v>
      </c>
      <c r="G729" s="49" t="s">
        <v>678</v>
      </c>
      <c r="H729" s="487" t="s">
        <v>752</v>
      </c>
      <c r="I729" s="50">
        <v>31.5</v>
      </c>
      <c r="J729" s="120">
        <f t="shared" si="28"/>
        <v>31.5</v>
      </c>
      <c r="K729" s="559" t="s">
        <v>940</v>
      </c>
    </row>
    <row r="730" spans="1:11" s="141" customFormat="1" ht="12" customHeight="1" x14ac:dyDescent="0.2">
      <c r="A730" s="93" t="s">
        <v>0</v>
      </c>
      <c r="B730" s="48">
        <v>22113</v>
      </c>
      <c r="C730" s="48"/>
      <c r="D730" s="49" t="s">
        <v>680</v>
      </c>
      <c r="E730" s="49" t="s">
        <v>7</v>
      </c>
      <c r="F730" s="48" t="s">
        <v>346</v>
      </c>
      <c r="G730" s="49" t="s">
        <v>678</v>
      </c>
      <c r="H730" s="487" t="s">
        <v>752</v>
      </c>
      <c r="I730" s="50">
        <v>25.125</v>
      </c>
      <c r="J730" s="120">
        <f t="shared" si="28"/>
        <v>25.125</v>
      </c>
      <c r="K730" s="559" t="s">
        <v>940</v>
      </c>
    </row>
    <row r="731" spans="1:11" s="141" customFormat="1" ht="12" customHeight="1" x14ac:dyDescent="0.2">
      <c r="A731" s="93" t="s">
        <v>0</v>
      </c>
      <c r="B731" s="48">
        <v>22114</v>
      </c>
      <c r="C731" s="48"/>
      <c r="D731" s="49" t="s">
        <v>681</v>
      </c>
      <c r="E731" s="49" t="s">
        <v>9</v>
      </c>
      <c r="F731" s="48" t="s">
        <v>346</v>
      </c>
      <c r="G731" s="49" t="s">
        <v>678</v>
      </c>
      <c r="H731" s="487" t="s">
        <v>752</v>
      </c>
      <c r="I731" s="50">
        <v>19.5</v>
      </c>
      <c r="J731" s="120">
        <f t="shared" si="28"/>
        <v>19.5</v>
      </c>
      <c r="K731" s="559" t="s">
        <v>940</v>
      </c>
    </row>
    <row r="732" spans="1:11" s="141" customFormat="1" ht="12" customHeight="1" x14ac:dyDescent="0.2">
      <c r="A732" s="93" t="s">
        <v>0</v>
      </c>
      <c r="B732" s="48">
        <v>22115</v>
      </c>
      <c r="C732" s="48"/>
      <c r="D732" s="49" t="s">
        <v>682</v>
      </c>
      <c r="E732" s="49" t="s">
        <v>11</v>
      </c>
      <c r="F732" s="48" t="s">
        <v>346</v>
      </c>
      <c r="G732" s="49" t="s">
        <v>678</v>
      </c>
      <c r="H732" s="487" t="s">
        <v>752</v>
      </c>
      <c r="I732" s="50">
        <v>17.25</v>
      </c>
      <c r="J732" s="120">
        <f t="shared" si="28"/>
        <v>17.25</v>
      </c>
      <c r="K732" s="559" t="s">
        <v>940</v>
      </c>
    </row>
    <row r="733" spans="1:11" s="141" customFormat="1" ht="12" customHeight="1" x14ac:dyDescent="0.2">
      <c r="A733" s="93" t="s">
        <v>0</v>
      </c>
      <c r="B733" s="48">
        <v>22116</v>
      </c>
      <c r="C733" s="48"/>
      <c r="D733" s="49" t="s">
        <v>683</v>
      </c>
      <c r="E733" s="49" t="s">
        <v>13</v>
      </c>
      <c r="F733" s="48" t="s">
        <v>346</v>
      </c>
      <c r="G733" s="49" t="s">
        <v>678</v>
      </c>
      <c r="H733" s="487" t="s">
        <v>752</v>
      </c>
      <c r="I733" s="50">
        <v>15</v>
      </c>
      <c r="J733" s="120">
        <f t="shared" si="28"/>
        <v>15</v>
      </c>
      <c r="K733" s="559" t="s">
        <v>940</v>
      </c>
    </row>
    <row r="734" spans="1:11" s="141" customFormat="1" ht="12" customHeight="1" x14ac:dyDescent="0.2">
      <c r="A734" s="93" t="s">
        <v>0</v>
      </c>
      <c r="B734" s="48">
        <v>22117</v>
      </c>
      <c r="C734" s="48"/>
      <c r="D734" s="49" t="s">
        <v>684</v>
      </c>
      <c r="E734" s="49" t="s">
        <v>15</v>
      </c>
      <c r="F734" s="48" t="s">
        <v>346</v>
      </c>
      <c r="G734" s="49" t="s">
        <v>678</v>
      </c>
      <c r="H734" s="487" t="s">
        <v>752</v>
      </c>
      <c r="I734" s="50">
        <v>13.5</v>
      </c>
      <c r="J734" s="120">
        <f t="shared" si="28"/>
        <v>13.5</v>
      </c>
      <c r="K734" s="559" t="s">
        <v>940</v>
      </c>
    </row>
    <row r="735" spans="1:11" s="141" customFormat="1" ht="12" customHeight="1" x14ac:dyDescent="0.2">
      <c r="A735" s="93" t="s">
        <v>0</v>
      </c>
      <c r="B735" s="48">
        <v>22118</v>
      </c>
      <c r="C735" s="48"/>
      <c r="D735" s="49" t="s">
        <v>685</v>
      </c>
      <c r="E735" s="49" t="s">
        <v>17</v>
      </c>
      <c r="F735" s="48" t="s">
        <v>346</v>
      </c>
      <c r="G735" s="49" t="s">
        <v>678</v>
      </c>
      <c r="H735" s="487" t="s">
        <v>752</v>
      </c>
      <c r="I735" s="50">
        <v>12</v>
      </c>
      <c r="J735" s="120">
        <f t="shared" si="28"/>
        <v>12</v>
      </c>
      <c r="K735" s="559" t="s">
        <v>940</v>
      </c>
    </row>
    <row r="736" spans="1:11" s="141" customFormat="1" ht="12" customHeight="1" x14ac:dyDescent="0.2">
      <c r="A736" s="93" t="s">
        <v>0</v>
      </c>
      <c r="B736" s="48">
        <v>22121</v>
      </c>
      <c r="C736" s="48"/>
      <c r="D736" s="49" t="s">
        <v>690</v>
      </c>
      <c r="E736" s="49" t="s">
        <v>708</v>
      </c>
      <c r="F736" s="48" t="s">
        <v>346</v>
      </c>
      <c r="G736" s="49" t="s">
        <v>678</v>
      </c>
      <c r="H736" s="487" t="s">
        <v>753</v>
      </c>
      <c r="I736" s="50">
        <v>75</v>
      </c>
      <c r="J736" s="120">
        <f t="shared" si="28"/>
        <v>75</v>
      </c>
      <c r="K736" s="559" t="s">
        <v>940</v>
      </c>
    </row>
    <row r="737" spans="1:11" s="141" customFormat="1" ht="12" customHeight="1" x14ac:dyDescent="0.2">
      <c r="A737" s="93" t="s">
        <v>0</v>
      </c>
      <c r="B737" s="48">
        <v>22122</v>
      </c>
      <c r="C737" s="48"/>
      <c r="D737" s="49" t="s">
        <v>691</v>
      </c>
      <c r="E737" s="49" t="s">
        <v>709</v>
      </c>
      <c r="F737" s="48" t="s">
        <v>346</v>
      </c>
      <c r="G737" s="49" t="s">
        <v>678</v>
      </c>
      <c r="H737" s="487" t="s">
        <v>753</v>
      </c>
      <c r="I737" s="50">
        <v>63</v>
      </c>
      <c r="J737" s="120">
        <f t="shared" si="28"/>
        <v>63</v>
      </c>
      <c r="K737" s="559" t="s">
        <v>940</v>
      </c>
    </row>
    <row r="738" spans="1:11" s="141" customFormat="1" ht="12" customHeight="1" x14ac:dyDescent="0.2">
      <c r="A738" s="93" t="s">
        <v>0</v>
      </c>
      <c r="B738" s="48">
        <v>22123</v>
      </c>
      <c r="C738" s="48"/>
      <c r="D738" s="49" t="s">
        <v>692</v>
      </c>
      <c r="E738" s="49" t="s">
        <v>710</v>
      </c>
      <c r="F738" s="48" t="s">
        <v>346</v>
      </c>
      <c r="G738" s="49" t="s">
        <v>678</v>
      </c>
      <c r="H738" s="487" t="s">
        <v>753</v>
      </c>
      <c r="I738" s="50">
        <v>50.25</v>
      </c>
      <c r="J738" s="120">
        <f t="shared" si="28"/>
        <v>50.25</v>
      </c>
      <c r="K738" s="559" t="s">
        <v>940</v>
      </c>
    </row>
    <row r="739" spans="1:11" s="141" customFormat="1" ht="12" customHeight="1" x14ac:dyDescent="0.2">
      <c r="A739" s="93" t="s">
        <v>0</v>
      </c>
      <c r="B739" s="48">
        <v>22124</v>
      </c>
      <c r="C739" s="48"/>
      <c r="D739" s="49" t="s">
        <v>693</v>
      </c>
      <c r="E739" s="49" t="s">
        <v>711</v>
      </c>
      <c r="F739" s="48" t="s">
        <v>346</v>
      </c>
      <c r="G739" s="49" t="s">
        <v>678</v>
      </c>
      <c r="H739" s="487" t="s">
        <v>753</v>
      </c>
      <c r="I739" s="50">
        <v>39</v>
      </c>
      <c r="J739" s="120">
        <f t="shared" si="28"/>
        <v>39</v>
      </c>
      <c r="K739" s="559" t="s">
        <v>940</v>
      </c>
    </row>
    <row r="740" spans="1:11" s="141" customFormat="1" ht="12" customHeight="1" x14ac:dyDescent="0.2">
      <c r="A740" s="93" t="s">
        <v>0</v>
      </c>
      <c r="B740" s="48">
        <v>22125</v>
      </c>
      <c r="C740" s="48"/>
      <c r="D740" s="49" t="s">
        <v>694</v>
      </c>
      <c r="E740" s="49" t="s">
        <v>712</v>
      </c>
      <c r="F740" s="48" t="s">
        <v>346</v>
      </c>
      <c r="G740" s="49" t="s">
        <v>678</v>
      </c>
      <c r="H740" s="487" t="s">
        <v>753</v>
      </c>
      <c r="I740" s="50">
        <v>34.5</v>
      </c>
      <c r="J740" s="120">
        <f t="shared" si="28"/>
        <v>34.5</v>
      </c>
      <c r="K740" s="559" t="s">
        <v>940</v>
      </c>
    </row>
    <row r="741" spans="1:11" s="141" customFormat="1" ht="12" customHeight="1" x14ac:dyDescent="0.2">
      <c r="A741" s="93" t="s">
        <v>0</v>
      </c>
      <c r="B741" s="48">
        <v>22126</v>
      </c>
      <c r="C741" s="48"/>
      <c r="D741" s="49" t="s">
        <v>695</v>
      </c>
      <c r="E741" s="49" t="s">
        <v>713</v>
      </c>
      <c r="F741" s="48" t="s">
        <v>346</v>
      </c>
      <c r="G741" s="49" t="s">
        <v>678</v>
      </c>
      <c r="H741" s="487" t="s">
        <v>753</v>
      </c>
      <c r="I741" s="50">
        <v>30</v>
      </c>
      <c r="J741" s="120">
        <f t="shared" si="28"/>
        <v>30</v>
      </c>
      <c r="K741" s="559" t="s">
        <v>940</v>
      </c>
    </row>
    <row r="742" spans="1:11" s="141" customFormat="1" ht="12" customHeight="1" x14ac:dyDescent="0.2">
      <c r="A742" s="93" t="s">
        <v>0</v>
      </c>
      <c r="B742" s="48">
        <v>22127</v>
      </c>
      <c r="C742" s="48"/>
      <c r="D742" s="49" t="s">
        <v>696</v>
      </c>
      <c r="E742" s="49" t="s">
        <v>714</v>
      </c>
      <c r="F742" s="48" t="s">
        <v>346</v>
      </c>
      <c r="G742" s="49" t="s">
        <v>678</v>
      </c>
      <c r="H742" s="487" t="s">
        <v>753</v>
      </c>
      <c r="I742" s="50">
        <v>27</v>
      </c>
      <c r="J742" s="120">
        <f t="shared" si="28"/>
        <v>27</v>
      </c>
      <c r="K742" s="559" t="s">
        <v>940</v>
      </c>
    </row>
    <row r="743" spans="1:11" s="141" customFormat="1" ht="12" customHeight="1" x14ac:dyDescent="0.2">
      <c r="A743" s="93" t="s">
        <v>0</v>
      </c>
      <c r="B743" s="48">
        <v>22128</v>
      </c>
      <c r="C743" s="48"/>
      <c r="D743" s="49" t="s">
        <v>697</v>
      </c>
      <c r="E743" s="49" t="s">
        <v>17</v>
      </c>
      <c r="F743" s="48" t="s">
        <v>346</v>
      </c>
      <c r="G743" s="49" t="s">
        <v>678</v>
      </c>
      <c r="H743" s="487" t="s">
        <v>753</v>
      </c>
      <c r="I743" s="50">
        <v>24</v>
      </c>
      <c r="J743" s="120">
        <f t="shared" si="28"/>
        <v>24</v>
      </c>
      <c r="K743" s="559" t="s">
        <v>940</v>
      </c>
    </row>
    <row r="744" spans="1:11" s="141" customFormat="1" ht="12" customHeight="1" x14ac:dyDescent="0.2">
      <c r="A744" s="93" t="s">
        <v>0</v>
      </c>
      <c r="B744" s="48">
        <v>22131</v>
      </c>
      <c r="C744" s="48"/>
      <c r="D744" s="49" t="s">
        <v>699</v>
      </c>
      <c r="E744" s="49" t="s">
        <v>708</v>
      </c>
      <c r="F744" s="48" t="s">
        <v>346</v>
      </c>
      <c r="G744" s="49" t="s">
        <v>678</v>
      </c>
      <c r="H744" s="487" t="s">
        <v>755</v>
      </c>
      <c r="I744" s="50">
        <v>112.5</v>
      </c>
      <c r="J744" s="120">
        <f t="shared" si="28"/>
        <v>112.5</v>
      </c>
      <c r="K744" s="559" t="s">
        <v>940</v>
      </c>
    </row>
    <row r="745" spans="1:11" s="141" customFormat="1" ht="12" customHeight="1" x14ac:dyDescent="0.2">
      <c r="A745" s="93" t="s">
        <v>0</v>
      </c>
      <c r="B745" s="48">
        <v>22132</v>
      </c>
      <c r="C745" s="48"/>
      <c r="D745" s="49" t="s">
        <v>700</v>
      </c>
      <c r="E745" s="49" t="s">
        <v>709</v>
      </c>
      <c r="F745" s="48" t="s">
        <v>346</v>
      </c>
      <c r="G745" s="49" t="s">
        <v>678</v>
      </c>
      <c r="H745" s="487" t="s">
        <v>755</v>
      </c>
      <c r="I745" s="50">
        <v>94.5</v>
      </c>
      <c r="J745" s="120">
        <f t="shared" si="28"/>
        <v>94.5</v>
      </c>
      <c r="K745" s="559" t="s">
        <v>940</v>
      </c>
    </row>
    <row r="746" spans="1:11" s="141" customFormat="1" ht="12" customHeight="1" x14ac:dyDescent="0.2">
      <c r="A746" s="93" t="s">
        <v>0</v>
      </c>
      <c r="B746" s="48">
        <v>22133</v>
      </c>
      <c r="C746" s="48"/>
      <c r="D746" s="49" t="s">
        <v>701</v>
      </c>
      <c r="E746" s="49" t="s">
        <v>710</v>
      </c>
      <c r="F746" s="48" t="s">
        <v>346</v>
      </c>
      <c r="G746" s="49" t="s">
        <v>678</v>
      </c>
      <c r="H746" s="487" t="s">
        <v>755</v>
      </c>
      <c r="I746" s="50">
        <v>75.375</v>
      </c>
      <c r="J746" s="120">
        <f t="shared" si="28"/>
        <v>75.375</v>
      </c>
      <c r="K746" s="559" t="s">
        <v>940</v>
      </c>
    </row>
    <row r="747" spans="1:11" s="141" customFormat="1" ht="12" customHeight="1" x14ac:dyDescent="0.2">
      <c r="A747" s="93" t="s">
        <v>0</v>
      </c>
      <c r="B747" s="48">
        <v>22134</v>
      </c>
      <c r="C747" s="48"/>
      <c r="D747" s="49" t="s">
        <v>702</v>
      </c>
      <c r="E747" s="49" t="s">
        <v>711</v>
      </c>
      <c r="F747" s="48" t="s">
        <v>346</v>
      </c>
      <c r="G747" s="49" t="s">
        <v>678</v>
      </c>
      <c r="H747" s="487" t="s">
        <v>755</v>
      </c>
      <c r="I747" s="50">
        <v>58.5</v>
      </c>
      <c r="J747" s="120">
        <f t="shared" si="28"/>
        <v>58.5</v>
      </c>
      <c r="K747" s="559" t="s">
        <v>940</v>
      </c>
    </row>
    <row r="748" spans="1:11" s="141" customFormat="1" ht="12" customHeight="1" x14ac:dyDescent="0.2">
      <c r="A748" s="93" t="s">
        <v>0</v>
      </c>
      <c r="B748" s="48">
        <v>22135</v>
      </c>
      <c r="C748" s="48"/>
      <c r="D748" s="49" t="s">
        <v>703</v>
      </c>
      <c r="E748" s="49" t="s">
        <v>712</v>
      </c>
      <c r="F748" s="48" t="s">
        <v>346</v>
      </c>
      <c r="G748" s="49" t="s">
        <v>678</v>
      </c>
      <c r="H748" s="487" t="s">
        <v>755</v>
      </c>
      <c r="I748" s="50">
        <v>51.75</v>
      </c>
      <c r="J748" s="120">
        <f t="shared" si="28"/>
        <v>51.75</v>
      </c>
      <c r="K748" s="559" t="s">
        <v>940</v>
      </c>
    </row>
    <row r="749" spans="1:11" s="141" customFormat="1" ht="12" customHeight="1" x14ac:dyDescent="0.2">
      <c r="A749" s="93" t="s">
        <v>0</v>
      </c>
      <c r="B749" s="48">
        <v>22136</v>
      </c>
      <c r="C749" s="48"/>
      <c r="D749" s="49" t="s">
        <v>704</v>
      </c>
      <c r="E749" s="49" t="s">
        <v>713</v>
      </c>
      <c r="F749" s="48" t="s">
        <v>346</v>
      </c>
      <c r="G749" s="49" t="s">
        <v>678</v>
      </c>
      <c r="H749" s="487" t="s">
        <v>755</v>
      </c>
      <c r="I749" s="50">
        <v>45</v>
      </c>
      <c r="J749" s="120">
        <f t="shared" si="28"/>
        <v>45</v>
      </c>
      <c r="K749" s="559" t="s">
        <v>940</v>
      </c>
    </row>
    <row r="750" spans="1:11" s="141" customFormat="1" ht="12" customHeight="1" x14ac:dyDescent="0.2">
      <c r="A750" s="93" t="s">
        <v>0</v>
      </c>
      <c r="B750" s="48">
        <v>22137</v>
      </c>
      <c r="C750" s="48"/>
      <c r="D750" s="49" t="s">
        <v>705</v>
      </c>
      <c r="E750" s="49" t="s">
        <v>714</v>
      </c>
      <c r="F750" s="48" t="s">
        <v>346</v>
      </c>
      <c r="G750" s="49" t="s">
        <v>678</v>
      </c>
      <c r="H750" s="487" t="s">
        <v>755</v>
      </c>
      <c r="I750" s="50">
        <v>40.5</v>
      </c>
      <c r="J750" s="120">
        <f t="shared" si="28"/>
        <v>40.5</v>
      </c>
      <c r="K750" s="559" t="s">
        <v>940</v>
      </c>
    </row>
    <row r="751" spans="1:11" s="141" customFormat="1" ht="12" customHeight="1" thickBot="1" x14ac:dyDescent="0.25">
      <c r="A751" s="93" t="s">
        <v>0</v>
      </c>
      <c r="B751" s="48">
        <v>22138</v>
      </c>
      <c r="C751" s="48"/>
      <c r="D751" s="49" t="s">
        <v>706</v>
      </c>
      <c r="E751" s="49" t="s">
        <v>17</v>
      </c>
      <c r="F751" s="48" t="s">
        <v>346</v>
      </c>
      <c r="G751" s="49" t="s">
        <v>678</v>
      </c>
      <c r="H751" s="487" t="s">
        <v>755</v>
      </c>
      <c r="I751" s="50">
        <v>36</v>
      </c>
      <c r="J751" s="120">
        <f t="shared" si="28"/>
        <v>36</v>
      </c>
      <c r="K751" s="559" t="s">
        <v>940</v>
      </c>
    </row>
    <row r="752" spans="1:11" s="61" customFormat="1" ht="12" customHeight="1" x14ac:dyDescent="0.2">
      <c r="A752" s="511" t="s">
        <v>802</v>
      </c>
      <c r="B752" s="512"/>
      <c r="C752" s="512"/>
      <c r="D752" s="512"/>
      <c r="E752" s="512"/>
      <c r="F752" s="512"/>
      <c r="G752" s="512"/>
      <c r="H752" s="512"/>
      <c r="I752" s="512"/>
      <c r="J752" s="513"/>
      <c r="K752" s="556"/>
    </row>
    <row r="753" spans="1:11" s="141" customFormat="1" ht="12" customHeight="1" x14ac:dyDescent="0.2">
      <c r="A753" s="508" t="s">
        <v>0</v>
      </c>
      <c r="B753" s="498">
        <v>22161</v>
      </c>
      <c r="C753" s="498"/>
      <c r="D753" s="491" t="s">
        <v>908</v>
      </c>
      <c r="E753" s="499" t="s">
        <v>36</v>
      </c>
      <c r="F753" s="503" t="s">
        <v>347</v>
      </c>
      <c r="G753" s="499" t="s">
        <v>678</v>
      </c>
      <c r="H753" s="491" t="s">
        <v>758</v>
      </c>
      <c r="I753" s="553">
        <v>37.5</v>
      </c>
      <c r="J753" s="497">
        <f t="shared" ref="J753:J776" si="29">IF(I753="on request","on request",IF(F753="Box",I753*(100%-$C$3),IF(F753="License",I753*(100%-$C$4),IF(F753="Renewal",I753*(100%-$C$5),IF(F753="ESD",I753*(100%-$C$3),I753)))))</f>
        <v>37.5</v>
      </c>
      <c r="K753" s="559" t="s">
        <v>940</v>
      </c>
    </row>
    <row r="754" spans="1:11" s="141" customFormat="1" ht="12" customHeight="1" x14ac:dyDescent="0.2">
      <c r="A754" s="508" t="s">
        <v>0</v>
      </c>
      <c r="B754" s="498">
        <v>22162</v>
      </c>
      <c r="C754" s="498"/>
      <c r="D754" s="491" t="s">
        <v>909</v>
      </c>
      <c r="E754" s="499" t="s">
        <v>38</v>
      </c>
      <c r="F754" s="557" t="s">
        <v>347</v>
      </c>
      <c r="G754" s="499" t="s">
        <v>678</v>
      </c>
      <c r="H754" s="491" t="s">
        <v>758</v>
      </c>
      <c r="I754" s="553">
        <v>31.5</v>
      </c>
      <c r="J754" s="497">
        <f t="shared" si="29"/>
        <v>31.5</v>
      </c>
      <c r="K754" s="559" t="s">
        <v>940</v>
      </c>
    </row>
    <row r="755" spans="1:11" s="141" customFormat="1" ht="12" customHeight="1" x14ac:dyDescent="0.2">
      <c r="A755" s="508" t="s">
        <v>0</v>
      </c>
      <c r="B755" s="498">
        <v>22163</v>
      </c>
      <c r="C755" s="498"/>
      <c r="D755" s="491" t="s">
        <v>910</v>
      </c>
      <c r="E755" s="499" t="s">
        <v>40</v>
      </c>
      <c r="F755" s="557" t="s">
        <v>347</v>
      </c>
      <c r="G755" s="499" t="s">
        <v>678</v>
      </c>
      <c r="H755" s="491" t="s">
        <v>758</v>
      </c>
      <c r="I755" s="553">
        <v>25.125</v>
      </c>
      <c r="J755" s="497">
        <f t="shared" si="29"/>
        <v>25.125</v>
      </c>
      <c r="K755" s="559" t="s">
        <v>940</v>
      </c>
    </row>
    <row r="756" spans="1:11" s="141" customFormat="1" ht="12" customHeight="1" x14ac:dyDescent="0.2">
      <c r="A756" s="508" t="s">
        <v>0</v>
      </c>
      <c r="B756" s="498">
        <v>22164</v>
      </c>
      <c r="C756" s="498"/>
      <c r="D756" s="491" t="s">
        <v>911</v>
      </c>
      <c r="E756" s="499" t="s">
        <v>42</v>
      </c>
      <c r="F756" s="557" t="s">
        <v>347</v>
      </c>
      <c r="G756" s="499" t="s">
        <v>678</v>
      </c>
      <c r="H756" s="491" t="s">
        <v>758</v>
      </c>
      <c r="I756" s="553">
        <v>19.5</v>
      </c>
      <c r="J756" s="497">
        <f t="shared" si="29"/>
        <v>19.5</v>
      </c>
      <c r="K756" s="559" t="s">
        <v>940</v>
      </c>
    </row>
    <row r="757" spans="1:11" s="141" customFormat="1" ht="12" customHeight="1" x14ac:dyDescent="0.2">
      <c r="A757" s="508" t="s">
        <v>0</v>
      </c>
      <c r="B757" s="498">
        <v>22165</v>
      </c>
      <c r="C757" s="498"/>
      <c r="D757" s="491" t="s">
        <v>912</v>
      </c>
      <c r="E757" s="499" t="s">
        <v>44</v>
      </c>
      <c r="F757" s="557" t="s">
        <v>347</v>
      </c>
      <c r="G757" s="499" t="s">
        <v>678</v>
      </c>
      <c r="H757" s="491" t="s">
        <v>758</v>
      </c>
      <c r="I757" s="553">
        <v>17.25</v>
      </c>
      <c r="J757" s="497">
        <f t="shared" si="29"/>
        <v>17.25</v>
      </c>
      <c r="K757" s="559" t="s">
        <v>940</v>
      </c>
    </row>
    <row r="758" spans="1:11" s="141" customFormat="1" ht="12" customHeight="1" x14ac:dyDescent="0.2">
      <c r="A758" s="508" t="s">
        <v>0</v>
      </c>
      <c r="B758" s="498">
        <v>22166</v>
      </c>
      <c r="C758" s="498"/>
      <c r="D758" s="491" t="s">
        <v>913</v>
      </c>
      <c r="E758" s="499" t="s">
        <v>46</v>
      </c>
      <c r="F758" s="557" t="s">
        <v>347</v>
      </c>
      <c r="G758" s="499" t="s">
        <v>678</v>
      </c>
      <c r="H758" s="491" t="s">
        <v>758</v>
      </c>
      <c r="I758" s="553">
        <v>15</v>
      </c>
      <c r="J758" s="497">
        <f t="shared" si="29"/>
        <v>15</v>
      </c>
      <c r="K758" s="559" t="s">
        <v>940</v>
      </c>
    </row>
    <row r="759" spans="1:11" s="141" customFormat="1" ht="12" customHeight="1" x14ac:dyDescent="0.2">
      <c r="A759" s="508" t="s">
        <v>0</v>
      </c>
      <c r="B759" s="498">
        <v>22167</v>
      </c>
      <c r="C759" s="498"/>
      <c r="D759" s="491" t="s">
        <v>914</v>
      </c>
      <c r="E759" s="499" t="s">
        <v>48</v>
      </c>
      <c r="F759" s="557" t="s">
        <v>347</v>
      </c>
      <c r="G759" s="499" t="s">
        <v>678</v>
      </c>
      <c r="H759" s="491" t="s">
        <v>758</v>
      </c>
      <c r="I759" s="553">
        <v>13.5</v>
      </c>
      <c r="J759" s="497">
        <f t="shared" si="29"/>
        <v>13.5</v>
      </c>
      <c r="K759" s="559" t="s">
        <v>940</v>
      </c>
    </row>
    <row r="760" spans="1:11" s="141" customFormat="1" ht="12" customHeight="1" x14ac:dyDescent="0.2">
      <c r="A760" s="508" t="s">
        <v>0</v>
      </c>
      <c r="B760" s="498">
        <v>22168</v>
      </c>
      <c r="C760" s="498"/>
      <c r="D760" s="491" t="s">
        <v>687</v>
      </c>
      <c r="E760" s="499" t="s">
        <v>50</v>
      </c>
      <c r="F760" s="557" t="s">
        <v>347</v>
      </c>
      <c r="G760" s="499" t="s">
        <v>678</v>
      </c>
      <c r="H760" s="491" t="s">
        <v>758</v>
      </c>
      <c r="I760" s="553">
        <v>12</v>
      </c>
      <c r="J760" s="497">
        <f t="shared" si="29"/>
        <v>12</v>
      </c>
      <c r="K760" s="559" t="s">
        <v>940</v>
      </c>
    </row>
    <row r="761" spans="1:11" s="141" customFormat="1" ht="12" customHeight="1" x14ac:dyDescent="0.2">
      <c r="A761" s="508" t="s">
        <v>0</v>
      </c>
      <c r="B761" s="498">
        <v>22171</v>
      </c>
      <c r="C761" s="498"/>
      <c r="D761" s="491" t="s">
        <v>915</v>
      </c>
      <c r="E761" s="499" t="s">
        <v>718</v>
      </c>
      <c r="F761" s="557" t="s">
        <v>347</v>
      </c>
      <c r="G761" s="499" t="s">
        <v>678</v>
      </c>
      <c r="H761" s="491" t="s">
        <v>759</v>
      </c>
      <c r="I761" s="553">
        <v>75</v>
      </c>
      <c r="J761" s="497">
        <f t="shared" si="29"/>
        <v>75</v>
      </c>
      <c r="K761" s="559" t="s">
        <v>940</v>
      </c>
    </row>
    <row r="762" spans="1:11" s="141" customFormat="1" ht="12" customHeight="1" x14ac:dyDescent="0.2">
      <c r="A762" s="508" t="s">
        <v>0</v>
      </c>
      <c r="B762" s="498">
        <v>22172</v>
      </c>
      <c r="C762" s="498"/>
      <c r="D762" s="491" t="s">
        <v>916</v>
      </c>
      <c r="E762" s="499" t="s">
        <v>719</v>
      </c>
      <c r="F762" s="557" t="s">
        <v>347</v>
      </c>
      <c r="G762" s="499" t="s">
        <v>678</v>
      </c>
      <c r="H762" s="491" t="s">
        <v>759</v>
      </c>
      <c r="I762" s="553">
        <v>63</v>
      </c>
      <c r="J762" s="497">
        <f t="shared" si="29"/>
        <v>63</v>
      </c>
      <c r="K762" s="559" t="s">
        <v>940</v>
      </c>
    </row>
    <row r="763" spans="1:11" s="141" customFormat="1" ht="12" customHeight="1" x14ac:dyDescent="0.2">
      <c r="A763" s="508" t="s">
        <v>0</v>
      </c>
      <c r="B763" s="498">
        <v>22173</v>
      </c>
      <c r="C763" s="498"/>
      <c r="D763" s="491" t="s">
        <v>917</v>
      </c>
      <c r="E763" s="499" t="s">
        <v>720</v>
      </c>
      <c r="F763" s="557" t="s">
        <v>347</v>
      </c>
      <c r="G763" s="499" t="s">
        <v>678</v>
      </c>
      <c r="H763" s="491" t="s">
        <v>759</v>
      </c>
      <c r="I763" s="553">
        <v>50.25</v>
      </c>
      <c r="J763" s="497">
        <f t="shared" si="29"/>
        <v>50.25</v>
      </c>
      <c r="K763" s="559" t="s">
        <v>940</v>
      </c>
    </row>
    <row r="764" spans="1:11" s="141" customFormat="1" ht="12" customHeight="1" x14ac:dyDescent="0.2">
      <c r="A764" s="508" t="s">
        <v>0</v>
      </c>
      <c r="B764" s="498">
        <v>22174</v>
      </c>
      <c r="C764" s="498"/>
      <c r="D764" s="491" t="s">
        <v>918</v>
      </c>
      <c r="E764" s="499" t="s">
        <v>721</v>
      </c>
      <c r="F764" s="557" t="s">
        <v>347</v>
      </c>
      <c r="G764" s="499" t="s">
        <v>678</v>
      </c>
      <c r="H764" s="491" t="s">
        <v>759</v>
      </c>
      <c r="I764" s="553">
        <v>39</v>
      </c>
      <c r="J764" s="497">
        <f t="shared" si="29"/>
        <v>39</v>
      </c>
      <c r="K764" s="559" t="s">
        <v>940</v>
      </c>
    </row>
    <row r="765" spans="1:11" s="141" customFormat="1" ht="12" customHeight="1" x14ac:dyDescent="0.2">
      <c r="A765" s="508" t="s">
        <v>0</v>
      </c>
      <c r="B765" s="498">
        <v>22175</v>
      </c>
      <c r="C765" s="498"/>
      <c r="D765" s="491" t="s">
        <v>919</v>
      </c>
      <c r="E765" s="499" t="s">
        <v>722</v>
      </c>
      <c r="F765" s="557" t="s">
        <v>347</v>
      </c>
      <c r="G765" s="499" t="s">
        <v>678</v>
      </c>
      <c r="H765" s="491" t="s">
        <v>759</v>
      </c>
      <c r="I765" s="553">
        <v>34.5</v>
      </c>
      <c r="J765" s="497">
        <f t="shared" si="29"/>
        <v>34.5</v>
      </c>
      <c r="K765" s="559" t="s">
        <v>940</v>
      </c>
    </row>
    <row r="766" spans="1:11" s="141" customFormat="1" ht="12" customHeight="1" x14ac:dyDescent="0.2">
      <c r="A766" s="508" t="s">
        <v>0</v>
      </c>
      <c r="B766" s="498">
        <v>22176</v>
      </c>
      <c r="C766" s="498"/>
      <c r="D766" s="491" t="s">
        <v>920</v>
      </c>
      <c r="E766" s="499" t="s">
        <v>723</v>
      </c>
      <c r="F766" s="557" t="s">
        <v>347</v>
      </c>
      <c r="G766" s="499" t="s">
        <v>678</v>
      </c>
      <c r="H766" s="491" t="s">
        <v>759</v>
      </c>
      <c r="I766" s="553">
        <v>30</v>
      </c>
      <c r="J766" s="497">
        <f t="shared" si="29"/>
        <v>30</v>
      </c>
      <c r="K766" s="559" t="s">
        <v>940</v>
      </c>
    </row>
    <row r="767" spans="1:11" s="141" customFormat="1" ht="12" customHeight="1" x14ac:dyDescent="0.2">
      <c r="A767" s="508" t="s">
        <v>0</v>
      </c>
      <c r="B767" s="498">
        <v>22177</v>
      </c>
      <c r="C767" s="498"/>
      <c r="D767" s="491" t="s">
        <v>921</v>
      </c>
      <c r="E767" s="499" t="s">
        <v>724</v>
      </c>
      <c r="F767" s="557" t="s">
        <v>347</v>
      </c>
      <c r="G767" s="499" t="s">
        <v>678</v>
      </c>
      <c r="H767" s="491" t="s">
        <v>759</v>
      </c>
      <c r="I767" s="553">
        <v>27</v>
      </c>
      <c r="J767" s="497">
        <f t="shared" si="29"/>
        <v>27</v>
      </c>
      <c r="K767" s="559" t="s">
        <v>940</v>
      </c>
    </row>
    <row r="768" spans="1:11" s="141" customFormat="1" ht="12" customHeight="1" x14ac:dyDescent="0.2">
      <c r="A768" s="508" t="s">
        <v>0</v>
      </c>
      <c r="B768" s="498">
        <v>22178</v>
      </c>
      <c r="C768" s="498"/>
      <c r="D768" s="491" t="s">
        <v>922</v>
      </c>
      <c r="E768" s="499" t="s">
        <v>50</v>
      </c>
      <c r="F768" s="557" t="s">
        <v>347</v>
      </c>
      <c r="G768" s="499" t="s">
        <v>678</v>
      </c>
      <c r="H768" s="491" t="s">
        <v>759</v>
      </c>
      <c r="I768" s="553">
        <v>24</v>
      </c>
      <c r="J768" s="497">
        <f t="shared" si="29"/>
        <v>24</v>
      </c>
      <c r="K768" s="559" t="s">
        <v>940</v>
      </c>
    </row>
    <row r="769" spans="1:11" s="141" customFormat="1" ht="12" customHeight="1" x14ac:dyDescent="0.2">
      <c r="A769" s="508" t="s">
        <v>0</v>
      </c>
      <c r="B769" s="498">
        <v>22181</v>
      </c>
      <c r="C769" s="498"/>
      <c r="D769" s="491" t="s">
        <v>923</v>
      </c>
      <c r="E769" s="499" t="s">
        <v>718</v>
      </c>
      <c r="F769" s="557" t="s">
        <v>347</v>
      </c>
      <c r="G769" s="499" t="s">
        <v>678</v>
      </c>
      <c r="H769" s="491" t="s">
        <v>760</v>
      </c>
      <c r="I769" s="553">
        <v>112.5</v>
      </c>
      <c r="J769" s="497">
        <f t="shared" si="29"/>
        <v>112.5</v>
      </c>
      <c r="K769" s="559" t="s">
        <v>940</v>
      </c>
    </row>
    <row r="770" spans="1:11" s="141" customFormat="1" ht="12" customHeight="1" x14ac:dyDescent="0.2">
      <c r="A770" s="508" t="s">
        <v>0</v>
      </c>
      <c r="B770" s="498">
        <v>22182</v>
      </c>
      <c r="C770" s="498"/>
      <c r="D770" s="491" t="s">
        <v>924</v>
      </c>
      <c r="E770" s="499" t="s">
        <v>719</v>
      </c>
      <c r="F770" s="557" t="s">
        <v>347</v>
      </c>
      <c r="G770" s="499" t="s">
        <v>678</v>
      </c>
      <c r="H770" s="491" t="s">
        <v>760</v>
      </c>
      <c r="I770" s="553">
        <v>94.5</v>
      </c>
      <c r="J770" s="497">
        <f t="shared" si="29"/>
        <v>94.5</v>
      </c>
      <c r="K770" s="559" t="s">
        <v>940</v>
      </c>
    </row>
    <row r="771" spans="1:11" s="141" customFormat="1" ht="12" customHeight="1" x14ac:dyDescent="0.2">
      <c r="A771" s="508" t="s">
        <v>0</v>
      </c>
      <c r="B771" s="498">
        <v>22183</v>
      </c>
      <c r="C771" s="498"/>
      <c r="D771" s="491" t="s">
        <v>925</v>
      </c>
      <c r="E771" s="499" t="s">
        <v>720</v>
      </c>
      <c r="F771" s="557" t="s">
        <v>347</v>
      </c>
      <c r="G771" s="499" t="s">
        <v>678</v>
      </c>
      <c r="H771" s="491" t="s">
        <v>760</v>
      </c>
      <c r="I771" s="553">
        <v>75.375</v>
      </c>
      <c r="J771" s="497">
        <f t="shared" si="29"/>
        <v>75.375</v>
      </c>
      <c r="K771" s="559" t="s">
        <v>940</v>
      </c>
    </row>
    <row r="772" spans="1:11" s="141" customFormat="1" ht="12" customHeight="1" x14ac:dyDescent="0.2">
      <c r="A772" s="508" t="s">
        <v>0</v>
      </c>
      <c r="B772" s="498">
        <v>22184</v>
      </c>
      <c r="C772" s="498"/>
      <c r="D772" s="491" t="s">
        <v>926</v>
      </c>
      <c r="E772" s="499" t="s">
        <v>721</v>
      </c>
      <c r="F772" s="557" t="s">
        <v>347</v>
      </c>
      <c r="G772" s="499" t="s">
        <v>678</v>
      </c>
      <c r="H772" s="491" t="s">
        <v>760</v>
      </c>
      <c r="I772" s="553">
        <v>58.5</v>
      </c>
      <c r="J772" s="497">
        <f t="shared" si="29"/>
        <v>58.5</v>
      </c>
      <c r="K772" s="559" t="s">
        <v>940</v>
      </c>
    </row>
    <row r="773" spans="1:11" s="141" customFormat="1" ht="12" customHeight="1" x14ac:dyDescent="0.2">
      <c r="A773" s="508" t="s">
        <v>0</v>
      </c>
      <c r="B773" s="498">
        <v>22185</v>
      </c>
      <c r="C773" s="498"/>
      <c r="D773" s="491" t="s">
        <v>927</v>
      </c>
      <c r="E773" s="499" t="s">
        <v>722</v>
      </c>
      <c r="F773" s="557" t="s">
        <v>347</v>
      </c>
      <c r="G773" s="499" t="s">
        <v>678</v>
      </c>
      <c r="H773" s="491" t="s">
        <v>760</v>
      </c>
      <c r="I773" s="553">
        <v>51.75</v>
      </c>
      <c r="J773" s="497">
        <f t="shared" si="29"/>
        <v>51.75</v>
      </c>
      <c r="K773" s="559" t="s">
        <v>940</v>
      </c>
    </row>
    <row r="774" spans="1:11" s="141" customFormat="1" ht="12" customHeight="1" x14ac:dyDescent="0.2">
      <c r="A774" s="508" t="s">
        <v>0</v>
      </c>
      <c r="B774" s="498">
        <v>22186</v>
      </c>
      <c r="C774" s="498"/>
      <c r="D774" s="491" t="s">
        <v>907</v>
      </c>
      <c r="E774" s="499" t="s">
        <v>723</v>
      </c>
      <c r="F774" s="557" t="s">
        <v>347</v>
      </c>
      <c r="G774" s="499" t="s">
        <v>678</v>
      </c>
      <c r="H774" s="491" t="s">
        <v>760</v>
      </c>
      <c r="I774" s="553">
        <v>45</v>
      </c>
      <c r="J774" s="497">
        <f t="shared" si="29"/>
        <v>45</v>
      </c>
      <c r="K774" s="559" t="s">
        <v>940</v>
      </c>
    </row>
    <row r="775" spans="1:11" s="141" customFormat="1" ht="12" customHeight="1" x14ac:dyDescent="0.2">
      <c r="A775" s="508" t="s">
        <v>0</v>
      </c>
      <c r="B775" s="498">
        <v>22187</v>
      </c>
      <c r="C775" s="498"/>
      <c r="D775" s="491" t="s">
        <v>906</v>
      </c>
      <c r="E775" s="499" t="s">
        <v>724</v>
      </c>
      <c r="F775" s="557" t="s">
        <v>347</v>
      </c>
      <c r="G775" s="499" t="s">
        <v>678</v>
      </c>
      <c r="H775" s="491" t="s">
        <v>760</v>
      </c>
      <c r="I775" s="553">
        <v>40.5</v>
      </c>
      <c r="J775" s="497">
        <f t="shared" si="29"/>
        <v>40.5</v>
      </c>
      <c r="K775" s="559" t="s">
        <v>940</v>
      </c>
    </row>
    <row r="776" spans="1:11" s="141" customFormat="1" ht="12" customHeight="1" thickBot="1" x14ac:dyDescent="0.25">
      <c r="A776" s="514" t="s">
        <v>0</v>
      </c>
      <c r="B776" s="515">
        <v>22188</v>
      </c>
      <c r="C776" s="515"/>
      <c r="D776" s="494" t="s">
        <v>716</v>
      </c>
      <c r="E776" s="516" t="s">
        <v>50</v>
      </c>
      <c r="F776" s="557" t="s">
        <v>347</v>
      </c>
      <c r="G776" s="516" t="s">
        <v>678</v>
      </c>
      <c r="H776" s="494" t="s">
        <v>760</v>
      </c>
      <c r="I776" s="554">
        <v>36</v>
      </c>
      <c r="J776" s="517">
        <f t="shared" si="29"/>
        <v>36</v>
      </c>
      <c r="K776" s="559" t="s">
        <v>940</v>
      </c>
    </row>
    <row r="777" spans="1:11" ht="12" customHeight="1" thickBot="1" x14ac:dyDescent="0.25">
      <c r="K777" s="556"/>
    </row>
    <row r="778" spans="1:11" s="854" customFormat="1" ht="12" customHeight="1" x14ac:dyDescent="0.2">
      <c r="A778" s="873" t="s">
        <v>942</v>
      </c>
      <c r="B778" s="874"/>
      <c r="C778" s="874"/>
      <c r="D778" s="874"/>
      <c r="E778" s="874"/>
      <c r="F778" s="874"/>
      <c r="G778" s="874"/>
      <c r="H778" s="874"/>
      <c r="I778" s="874"/>
      <c r="J778" s="875"/>
      <c r="K778" s="853"/>
    </row>
    <row r="779" spans="1:11" s="854" customFormat="1" ht="12" customHeight="1" x14ac:dyDescent="0.2">
      <c r="A779" s="856" t="s">
        <v>931</v>
      </c>
      <c r="B779" s="857"/>
      <c r="C779" s="857"/>
      <c r="D779" s="857"/>
      <c r="E779" s="857"/>
      <c r="F779" s="857"/>
      <c r="G779" s="857"/>
      <c r="H779" s="857"/>
      <c r="I779" s="857"/>
      <c r="J779" s="858"/>
    </row>
    <row r="780" spans="1:11" s="854" customFormat="1" ht="12" customHeight="1" x14ac:dyDescent="0.2">
      <c r="A780" s="856" t="s">
        <v>932</v>
      </c>
      <c r="B780" s="857"/>
      <c r="C780" s="857"/>
      <c r="D780" s="857"/>
      <c r="E780" s="857"/>
      <c r="F780" s="857"/>
      <c r="G780" s="857"/>
      <c r="H780" s="857"/>
      <c r="I780" s="857"/>
      <c r="J780" s="858"/>
    </row>
    <row r="781" spans="1:11" s="854" customFormat="1" ht="12" customHeight="1" thickBot="1" x14ac:dyDescent="0.25">
      <c r="A781" s="859" t="s">
        <v>933</v>
      </c>
      <c r="B781" s="860"/>
      <c r="C781" s="860"/>
      <c r="D781" s="860"/>
      <c r="E781" s="860"/>
      <c r="F781" s="860"/>
      <c r="G781" s="860"/>
      <c r="H781" s="860"/>
      <c r="I781" s="860"/>
      <c r="J781" s="861"/>
    </row>
    <row r="782" spans="1:11" s="854" customFormat="1" ht="12" customHeight="1" thickBot="1" x14ac:dyDescent="0.25">
      <c r="A782" s="573"/>
      <c r="B782" s="572"/>
      <c r="C782" s="572"/>
      <c r="D782" s="572"/>
      <c r="E782" s="572"/>
      <c r="F782" s="573"/>
      <c r="G782" s="572"/>
      <c r="H782" s="572"/>
      <c r="I782" s="574"/>
      <c r="J782" s="572"/>
    </row>
    <row r="783" spans="1:11" s="854" customFormat="1" ht="12" customHeight="1" x14ac:dyDescent="0.2">
      <c r="A783" s="632" t="s">
        <v>934</v>
      </c>
      <c r="B783" s="633"/>
      <c r="C783" s="633"/>
      <c r="D783" s="633"/>
      <c r="E783" s="633"/>
      <c r="F783" s="634"/>
      <c r="G783" s="633"/>
      <c r="H783" s="633"/>
      <c r="I783" s="633"/>
      <c r="J783" s="635"/>
    </row>
    <row r="784" spans="1:11" s="854" customFormat="1" ht="12" customHeight="1" x14ac:dyDescent="0.2">
      <c r="A784" s="636" t="s">
        <v>941</v>
      </c>
      <c r="B784" s="637"/>
      <c r="C784" s="637"/>
      <c r="D784" s="637"/>
      <c r="E784" s="637"/>
      <c r="F784" s="638"/>
      <c r="G784" s="637"/>
      <c r="H784" s="637"/>
      <c r="I784" s="637"/>
      <c r="J784" s="639"/>
    </row>
    <row r="785" spans="1:10" s="854" customFormat="1" ht="12" customHeight="1" x14ac:dyDescent="0.2">
      <c r="A785" s="636" t="s">
        <v>943</v>
      </c>
      <c r="B785" s="640"/>
      <c r="C785" s="640"/>
      <c r="D785" s="640"/>
      <c r="E785" s="640"/>
      <c r="F785" s="640"/>
      <c r="G785" s="640"/>
      <c r="H785" s="640"/>
      <c r="I785" s="640"/>
      <c r="J785" s="641"/>
    </row>
    <row r="786" spans="1:10" s="854" customFormat="1" ht="12" customHeight="1" x14ac:dyDescent="0.2">
      <c r="A786" s="636" t="s">
        <v>944</v>
      </c>
      <c r="B786" s="640"/>
      <c r="C786" s="640"/>
      <c r="D786" s="640"/>
      <c r="E786" s="640"/>
      <c r="F786" s="640"/>
      <c r="G786" s="640"/>
      <c r="H786" s="640"/>
      <c r="I786" s="640"/>
      <c r="J786" s="641"/>
    </row>
    <row r="787" spans="1:10" s="854" customFormat="1" ht="12" customHeight="1" thickBot="1" x14ac:dyDescent="0.25">
      <c r="A787" s="642" t="s">
        <v>945</v>
      </c>
      <c r="B787" s="643"/>
      <c r="C787" s="643"/>
      <c r="D787" s="643"/>
      <c r="E787" s="643"/>
      <c r="F787" s="643"/>
      <c r="G787" s="643"/>
      <c r="H787" s="643"/>
      <c r="I787" s="643"/>
      <c r="J787" s="644"/>
    </row>
    <row r="788" spans="1:10" ht="12" customHeight="1" x14ac:dyDescent="0.2"/>
    <row r="789" spans="1:10" ht="12" customHeight="1" x14ac:dyDescent="0.2"/>
    <row r="790" spans="1:10" ht="12" customHeight="1" x14ac:dyDescent="0.2"/>
    <row r="791" spans="1:10" ht="12" customHeight="1" x14ac:dyDescent="0.2"/>
    <row r="792" spans="1:10" ht="12" customHeight="1" x14ac:dyDescent="0.2"/>
    <row r="793" spans="1:10" ht="12" customHeight="1" x14ac:dyDescent="0.2"/>
    <row r="794" spans="1:10" ht="12" customHeight="1" x14ac:dyDescent="0.2"/>
    <row r="795" spans="1:10" ht="12" customHeight="1" x14ac:dyDescent="0.2"/>
    <row r="796" spans="1:10" ht="12" customHeight="1" x14ac:dyDescent="0.2"/>
    <row r="797" spans="1:10" ht="12" customHeight="1" x14ac:dyDescent="0.2"/>
    <row r="798" spans="1:10" ht="12" customHeight="1" x14ac:dyDescent="0.2"/>
  </sheetData>
  <sheetProtection algorithmName="SHA-512" hashValue="iS5BnZ78vNSs7QsNrI+9+4mEw8eNgyJUzICbqw3UYmRmF4tKrjtezOQvdqJrbvyIjEAPZXs6tC1Bc0uuri98sQ==" saltValue="52tggiBtOXphAy86dw1fow==" spinCount="100000" sheet="1" objects="1" scenarios="1" formatColumns="0" sort="0" autoFilter="0"/>
  <protectedRanges>
    <protectedRange sqref="C3:C5" name="Bereich1"/>
  </protectedRanges>
  <autoFilter ref="A7:I798"/>
  <mergeCells count="11">
    <mergeCell ref="A780:J780"/>
    <mergeCell ref="A781:J781"/>
    <mergeCell ref="A1:J1"/>
    <mergeCell ref="A3:B3"/>
    <mergeCell ref="A4:B4"/>
    <mergeCell ref="A5:B5"/>
    <mergeCell ref="D4:F4"/>
    <mergeCell ref="D5:F5"/>
    <mergeCell ref="G4:I4"/>
    <mergeCell ref="A778:J778"/>
    <mergeCell ref="A779:J779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theme="4" tint="0.39997558519241921"/>
  </sheetPr>
  <dimension ref="A1:K413"/>
  <sheetViews>
    <sheetView showGridLines="0" workbookViewId="0">
      <pane ySplit="3" topLeftCell="A369" activePane="bottomLeft" state="frozenSplit"/>
      <selection pane="bottomLeft" activeCell="C410" sqref="C410"/>
    </sheetView>
  </sheetViews>
  <sheetFormatPr baseColWidth="10" defaultColWidth="11.5703125" defaultRowHeight="15" x14ac:dyDescent="0.25"/>
  <cols>
    <col min="1" max="1" width="9.85546875" style="75" bestFit="1" customWidth="1"/>
    <col min="2" max="2" width="13.5703125" style="75" bestFit="1" customWidth="1"/>
    <col min="3" max="3" width="10.85546875" style="40" bestFit="1" customWidth="1"/>
    <col min="4" max="4" width="28.28515625" style="40" bestFit="1" customWidth="1"/>
    <col min="5" max="5" width="16.28515625" style="40" bestFit="1" customWidth="1"/>
    <col min="6" max="6" width="6.7109375" style="75" bestFit="1" customWidth="1"/>
    <col min="7" max="7" width="26.7109375" style="40" bestFit="1" customWidth="1"/>
    <col min="8" max="8" width="38.28515625" style="40" bestFit="1" customWidth="1"/>
    <col min="9" max="9" width="12.42578125" style="76" bestFit="1" customWidth="1"/>
    <col min="10" max="10" width="10.7109375" style="76" bestFit="1" customWidth="1"/>
    <col min="11" max="16384" width="11.5703125" style="40"/>
  </cols>
  <sheetData>
    <row r="1" spans="1:10" ht="18.75" x14ac:dyDescent="0.3">
      <c r="A1" s="45" t="s">
        <v>803</v>
      </c>
      <c r="B1" s="45"/>
      <c r="C1" s="45"/>
      <c r="D1" s="45"/>
      <c r="E1" s="296"/>
      <c r="F1" s="142"/>
      <c r="G1" s="142"/>
      <c r="J1" s="45"/>
    </row>
    <row r="2" spans="1:10" ht="15.75" thickBot="1" x14ac:dyDescent="0.3">
      <c r="E2" s="876"/>
      <c r="F2" s="876"/>
      <c r="G2" s="876"/>
    </row>
    <row r="3" spans="1:10" ht="36.75" thickBot="1" x14ac:dyDescent="0.3">
      <c r="A3" s="575" t="s">
        <v>743</v>
      </c>
      <c r="B3" s="576" t="s">
        <v>744</v>
      </c>
      <c r="C3" s="576" t="s">
        <v>449</v>
      </c>
      <c r="D3" s="576" t="s">
        <v>745</v>
      </c>
      <c r="E3" s="576" t="s">
        <v>938</v>
      </c>
      <c r="F3" s="576" t="s">
        <v>939</v>
      </c>
      <c r="G3" s="576" t="s">
        <v>748</v>
      </c>
      <c r="H3" s="576" t="s">
        <v>749</v>
      </c>
      <c r="I3" s="577" t="s">
        <v>750</v>
      </c>
      <c r="J3" s="578" t="s">
        <v>751</v>
      </c>
    </row>
    <row r="4" spans="1:10" ht="12" customHeight="1" x14ac:dyDescent="0.25">
      <c r="A4" s="99" t="str">
        <f>'Total Price List'!A8</f>
        <v>G Data AntiVirus Business network license</v>
      </c>
      <c r="B4" s="99"/>
      <c r="C4" s="99"/>
      <c r="D4" s="99"/>
      <c r="E4" s="99"/>
      <c r="F4" s="99"/>
      <c r="G4" s="99"/>
      <c r="H4" s="99"/>
      <c r="I4" s="99"/>
      <c r="J4" s="100"/>
    </row>
    <row r="5" spans="1:10" ht="12" customHeight="1" x14ac:dyDescent="0.25">
      <c r="A5" s="83" t="str">
        <f>'Total Price List'!A9</f>
        <v>G Data</v>
      </c>
      <c r="B5" s="4">
        <f>'Total Price List'!B9</f>
        <v>20211</v>
      </c>
      <c r="C5" s="3"/>
      <c r="D5" s="3" t="str">
        <f>'Total Price List'!D9</f>
        <v>License 1Y GD AV BUS -9</v>
      </c>
      <c r="E5" s="3" t="str">
        <f>'Total Price List'!E9</f>
        <v>License 4 &lt; x &lt; 10</v>
      </c>
      <c r="F5" s="4" t="str">
        <f>'Total Price List'!F9</f>
        <v>License</v>
      </c>
      <c r="G5" s="3" t="str">
        <f>'Total Price List'!G9</f>
        <v xml:space="preserve">G Data AntiVirus Business </v>
      </c>
      <c r="H5" s="3" t="str">
        <f>'Total Price List'!H9</f>
        <v>network license 1 year</v>
      </c>
      <c r="I5" s="64">
        <f>'Total Price List'!I9</f>
        <v>37.5</v>
      </c>
      <c r="J5" s="65">
        <f>'Total Price List'!J9</f>
        <v>37.5</v>
      </c>
    </row>
    <row r="6" spans="1:10" ht="12" customHeight="1" x14ac:dyDescent="0.25">
      <c r="A6" s="83" t="str">
        <f>'Total Price List'!A10</f>
        <v>G Data</v>
      </c>
      <c r="B6" s="4">
        <f>'Total Price List'!B10</f>
        <v>20212</v>
      </c>
      <c r="C6" s="3"/>
      <c r="D6" s="3" t="str">
        <f>'Total Price List'!D10</f>
        <v>License 1Y GD AV BUS 10+</v>
      </c>
      <c r="E6" s="3" t="str">
        <f>'Total Price List'!E10</f>
        <v>License 9 &lt; x &lt; 25</v>
      </c>
      <c r="F6" s="4" t="str">
        <f>'Total Price List'!F10</f>
        <v>License</v>
      </c>
      <c r="G6" s="3" t="str">
        <f>'Total Price List'!G10</f>
        <v xml:space="preserve">G Data AntiVirus Business </v>
      </c>
      <c r="H6" s="3" t="str">
        <f>'Total Price List'!H10</f>
        <v>network license 1 year</v>
      </c>
      <c r="I6" s="64">
        <f>'Total Price List'!I10</f>
        <v>31.5</v>
      </c>
      <c r="J6" s="65">
        <f>'Total Price List'!J10</f>
        <v>31.5</v>
      </c>
    </row>
    <row r="7" spans="1:10" ht="12" customHeight="1" x14ac:dyDescent="0.25">
      <c r="A7" s="83" t="str">
        <f>'Total Price List'!A11</f>
        <v>G Data</v>
      </c>
      <c r="B7" s="4">
        <f>'Total Price List'!B11</f>
        <v>20213</v>
      </c>
      <c r="C7" s="3"/>
      <c r="D7" s="3" t="str">
        <f>'Total Price List'!D11</f>
        <v>License 1Y GD AV BUS 25+</v>
      </c>
      <c r="E7" s="3" t="str">
        <f>'Total Price List'!E11</f>
        <v>License 24 &lt; x &lt; 50</v>
      </c>
      <c r="F7" s="4" t="str">
        <f>'Total Price List'!F11</f>
        <v>License</v>
      </c>
      <c r="G7" s="3" t="str">
        <f>'Total Price List'!G11</f>
        <v xml:space="preserve">G Data AntiVirus Business </v>
      </c>
      <c r="H7" s="3" t="str">
        <f>'Total Price List'!H11</f>
        <v>network license 1 year</v>
      </c>
      <c r="I7" s="64">
        <f>'Total Price List'!I11</f>
        <v>25.125</v>
      </c>
      <c r="J7" s="65">
        <f>'Total Price List'!J11</f>
        <v>25.125</v>
      </c>
    </row>
    <row r="8" spans="1:10" ht="12" customHeight="1" x14ac:dyDescent="0.25">
      <c r="A8" s="83" t="str">
        <f>'Total Price List'!A12</f>
        <v>G Data</v>
      </c>
      <c r="B8" s="4">
        <f>'Total Price List'!B12</f>
        <v>20214</v>
      </c>
      <c r="C8" s="3"/>
      <c r="D8" s="3" t="str">
        <f>'Total Price List'!D12</f>
        <v>License 1Y GD AV BUS 50+</v>
      </c>
      <c r="E8" s="3" t="str">
        <f>'Total Price List'!E12</f>
        <v>License 49 &lt; x &lt; 100</v>
      </c>
      <c r="F8" s="4" t="str">
        <f>'Total Price List'!F12</f>
        <v>License</v>
      </c>
      <c r="G8" s="3" t="str">
        <f>'Total Price List'!G12</f>
        <v xml:space="preserve">G Data AntiVirus Business </v>
      </c>
      <c r="H8" s="3" t="str">
        <f>'Total Price List'!H12</f>
        <v>network license 1 year</v>
      </c>
      <c r="I8" s="64">
        <f>'Total Price List'!I12</f>
        <v>19.5</v>
      </c>
      <c r="J8" s="65">
        <f>'Total Price List'!J12</f>
        <v>19.5</v>
      </c>
    </row>
    <row r="9" spans="1:10" ht="12" customHeight="1" x14ac:dyDescent="0.25">
      <c r="A9" s="83" t="str">
        <f>'Total Price List'!A13</f>
        <v>G Data</v>
      </c>
      <c r="B9" s="4">
        <f>'Total Price List'!B13</f>
        <v>20215</v>
      </c>
      <c r="C9" s="3"/>
      <c r="D9" s="3" t="str">
        <f>'Total Price List'!D13</f>
        <v>License 1Y GD AV BUS 100+</v>
      </c>
      <c r="E9" s="3" t="str">
        <f>'Total Price List'!E13</f>
        <v>License 99 &lt; x &lt; 250</v>
      </c>
      <c r="F9" s="4" t="str">
        <f>'Total Price List'!F13</f>
        <v>License</v>
      </c>
      <c r="G9" s="3" t="str">
        <f>'Total Price List'!G13</f>
        <v xml:space="preserve">G Data AntiVirus Business </v>
      </c>
      <c r="H9" s="3" t="str">
        <f>'Total Price List'!H13</f>
        <v>network license 1 year</v>
      </c>
      <c r="I9" s="64">
        <f>'Total Price List'!I13</f>
        <v>17.25</v>
      </c>
      <c r="J9" s="65">
        <f>'Total Price List'!J13</f>
        <v>17.25</v>
      </c>
    </row>
    <row r="10" spans="1:10" ht="12" customHeight="1" x14ac:dyDescent="0.25">
      <c r="A10" s="83" t="str">
        <f>'Total Price List'!A14</f>
        <v>G Data</v>
      </c>
      <c r="B10" s="4">
        <f>'Total Price List'!B14</f>
        <v>20216</v>
      </c>
      <c r="C10" s="3"/>
      <c r="D10" s="3" t="str">
        <f>'Total Price List'!D14</f>
        <v>License 1Y GD AV BUS 250+</v>
      </c>
      <c r="E10" s="3" t="str">
        <f>'Total Price List'!E14</f>
        <v>License 249 &lt; x &lt; 500</v>
      </c>
      <c r="F10" s="4" t="str">
        <f>'Total Price List'!F14</f>
        <v>License</v>
      </c>
      <c r="G10" s="3" t="str">
        <f>'Total Price List'!G14</f>
        <v xml:space="preserve">G Data AntiVirus Business </v>
      </c>
      <c r="H10" s="3" t="str">
        <f>'Total Price List'!H14</f>
        <v>network license 1 year</v>
      </c>
      <c r="I10" s="64">
        <f>'Total Price List'!I14</f>
        <v>15</v>
      </c>
      <c r="J10" s="65">
        <f>'Total Price List'!J14</f>
        <v>15</v>
      </c>
    </row>
    <row r="11" spans="1:10" ht="12" customHeight="1" x14ac:dyDescent="0.25">
      <c r="A11" s="83" t="str">
        <f>'Total Price List'!A15</f>
        <v>G Data</v>
      </c>
      <c r="B11" s="4">
        <f>'Total Price List'!B15</f>
        <v>20217</v>
      </c>
      <c r="C11" s="3"/>
      <c r="D11" s="3" t="str">
        <f>'Total Price List'!D15</f>
        <v>License 1Y GD AV BUS 500+</v>
      </c>
      <c r="E11" s="3" t="str">
        <f>'Total Price List'!E15</f>
        <v>License 499 &lt; x &lt; 1000</v>
      </c>
      <c r="F11" s="4" t="str">
        <f>'Total Price List'!F15</f>
        <v>License</v>
      </c>
      <c r="G11" s="3" t="str">
        <f>'Total Price List'!G15</f>
        <v xml:space="preserve">G Data AntiVirus Business </v>
      </c>
      <c r="H11" s="3" t="str">
        <f>'Total Price List'!H15</f>
        <v>network license 1 year</v>
      </c>
      <c r="I11" s="64">
        <f>'Total Price List'!I15</f>
        <v>13.5</v>
      </c>
      <c r="J11" s="65">
        <f>'Total Price List'!J15</f>
        <v>13.5</v>
      </c>
    </row>
    <row r="12" spans="1:10" ht="12" customHeight="1" x14ac:dyDescent="0.25">
      <c r="A12" s="83" t="str">
        <f>'Total Price List'!A16</f>
        <v>G Data</v>
      </c>
      <c r="B12" s="4">
        <f>'Total Price List'!B16</f>
        <v>20218</v>
      </c>
      <c r="C12" s="3"/>
      <c r="D12" s="3" t="str">
        <f>'Total Price List'!D16</f>
        <v>License 1Y GD AV BUS 1000+</v>
      </c>
      <c r="E12" s="3" t="str">
        <f>'Total Price List'!E16</f>
        <v>License 999 &lt; x &lt; 2500</v>
      </c>
      <c r="F12" s="4" t="str">
        <f>'Total Price List'!F16</f>
        <v>License</v>
      </c>
      <c r="G12" s="3" t="str">
        <f>'Total Price List'!G16</f>
        <v xml:space="preserve">G Data AntiVirus Business </v>
      </c>
      <c r="H12" s="3" t="str">
        <f>'Total Price List'!H16</f>
        <v>network license 1 year</v>
      </c>
      <c r="I12" s="64">
        <f>'Total Price List'!I16</f>
        <v>12</v>
      </c>
      <c r="J12" s="65">
        <f>'Total Price List'!J16</f>
        <v>12</v>
      </c>
    </row>
    <row r="13" spans="1:10" ht="12" customHeight="1" x14ac:dyDescent="0.25">
      <c r="A13" s="83" t="str">
        <f>'Total Price List'!A17</f>
        <v>G Data</v>
      </c>
      <c r="B13" s="4">
        <f>'Total Price List'!B17</f>
        <v>20221</v>
      </c>
      <c r="C13" s="3"/>
      <c r="D13" s="3" t="str">
        <f>'Total Price List'!D17</f>
        <v>License 2Y GD AV BUS -9</v>
      </c>
      <c r="E13" s="3" t="str">
        <f>'Total Price List'!E17</f>
        <v>License 4 &lt; x &lt; 10</v>
      </c>
      <c r="F13" s="4" t="str">
        <f>'Total Price List'!F17</f>
        <v>License</v>
      </c>
      <c r="G13" s="3" t="str">
        <f>'Total Price List'!G17</f>
        <v xml:space="preserve">G Data AntiVirus Business </v>
      </c>
      <c r="H13" s="3" t="str">
        <f>'Total Price List'!H17</f>
        <v>network license 2 years</v>
      </c>
      <c r="I13" s="64">
        <f>'Total Price List'!I17</f>
        <v>52.5</v>
      </c>
      <c r="J13" s="65">
        <f>'Total Price List'!J17</f>
        <v>52.5</v>
      </c>
    </row>
    <row r="14" spans="1:10" ht="12" customHeight="1" x14ac:dyDescent="0.25">
      <c r="A14" s="83" t="str">
        <f>'Total Price List'!A18</f>
        <v>G Data</v>
      </c>
      <c r="B14" s="4">
        <f>'Total Price List'!B18</f>
        <v>20222</v>
      </c>
      <c r="C14" s="3"/>
      <c r="D14" s="3" t="str">
        <f>'Total Price List'!D18</f>
        <v>License 2Y GD AV BUS 10+</v>
      </c>
      <c r="E14" s="3" t="str">
        <f>'Total Price List'!E18</f>
        <v>License 9 &lt; x &lt; 25</v>
      </c>
      <c r="F14" s="4" t="str">
        <f>'Total Price List'!F18</f>
        <v>License</v>
      </c>
      <c r="G14" s="3" t="str">
        <f>'Total Price List'!G18</f>
        <v xml:space="preserve">G Data AntiVirus Business </v>
      </c>
      <c r="H14" s="3" t="str">
        <f>'Total Price List'!H18</f>
        <v>network license 2 years</v>
      </c>
      <c r="I14" s="64">
        <f>'Total Price List'!I18</f>
        <v>46.5</v>
      </c>
      <c r="J14" s="65">
        <f>'Total Price List'!J18</f>
        <v>46.5</v>
      </c>
    </row>
    <row r="15" spans="1:10" ht="12" customHeight="1" x14ac:dyDescent="0.25">
      <c r="A15" s="83" t="str">
        <f>'Total Price List'!A19</f>
        <v>G Data</v>
      </c>
      <c r="B15" s="4">
        <f>'Total Price List'!B19</f>
        <v>20223</v>
      </c>
      <c r="C15" s="3"/>
      <c r="D15" s="3" t="str">
        <f>'Total Price List'!D19</f>
        <v>License 2Y GD AV BUS 25+</v>
      </c>
      <c r="E15" s="3" t="str">
        <f>'Total Price List'!E19</f>
        <v>License 24 &lt; x &lt; 50</v>
      </c>
      <c r="F15" s="4" t="str">
        <f>'Total Price List'!F19</f>
        <v>License</v>
      </c>
      <c r="G15" s="3" t="str">
        <f>'Total Price List'!G19</f>
        <v xml:space="preserve">G Data AntiVirus Business </v>
      </c>
      <c r="H15" s="3" t="str">
        <f>'Total Price List'!H19</f>
        <v>network license 2 years</v>
      </c>
      <c r="I15" s="64">
        <f>'Total Price List'!I19</f>
        <v>36</v>
      </c>
      <c r="J15" s="65">
        <f>'Total Price List'!J19</f>
        <v>36</v>
      </c>
    </row>
    <row r="16" spans="1:10" ht="12" customHeight="1" x14ac:dyDescent="0.25">
      <c r="A16" s="83" t="str">
        <f>'Total Price List'!A20</f>
        <v>G Data</v>
      </c>
      <c r="B16" s="4">
        <f>'Total Price List'!B20</f>
        <v>20224</v>
      </c>
      <c r="C16" s="3"/>
      <c r="D16" s="3" t="str">
        <f>'Total Price List'!D20</f>
        <v>License 2Y GD AV BUS 50+</v>
      </c>
      <c r="E16" s="3" t="str">
        <f>'Total Price List'!E20</f>
        <v>License 49 &lt; x &lt; 100</v>
      </c>
      <c r="F16" s="4" t="str">
        <f>'Total Price List'!F20</f>
        <v>License</v>
      </c>
      <c r="G16" s="3" t="str">
        <f>'Total Price List'!G20</f>
        <v xml:space="preserve">G Data AntiVirus Business </v>
      </c>
      <c r="H16" s="3" t="str">
        <f>'Total Price List'!H20</f>
        <v>network license 2 years</v>
      </c>
      <c r="I16" s="64">
        <f>'Total Price List'!I20</f>
        <v>30</v>
      </c>
      <c r="J16" s="65">
        <f>'Total Price List'!J20</f>
        <v>30</v>
      </c>
    </row>
    <row r="17" spans="1:10" ht="12" customHeight="1" x14ac:dyDescent="0.25">
      <c r="A17" s="83" t="str">
        <f>'Total Price List'!A21</f>
        <v>G Data</v>
      </c>
      <c r="B17" s="4">
        <f>'Total Price List'!B21</f>
        <v>20225</v>
      </c>
      <c r="C17" s="3"/>
      <c r="D17" s="3" t="str">
        <f>'Total Price List'!D21</f>
        <v>License 2Y GD AV BUS 100+</v>
      </c>
      <c r="E17" s="3" t="str">
        <f>'Total Price List'!E21</f>
        <v>License 99 &lt; x &lt; 250</v>
      </c>
      <c r="F17" s="4" t="str">
        <f>'Total Price List'!F21</f>
        <v>License</v>
      </c>
      <c r="G17" s="3" t="str">
        <f>'Total Price List'!G21</f>
        <v xml:space="preserve">G Data AntiVirus Business </v>
      </c>
      <c r="H17" s="3" t="str">
        <f>'Total Price List'!H21</f>
        <v>network license 2 years</v>
      </c>
      <c r="I17" s="64">
        <f>'Total Price List'!I21</f>
        <v>26.25</v>
      </c>
      <c r="J17" s="65">
        <f>'Total Price List'!J21</f>
        <v>26.25</v>
      </c>
    </row>
    <row r="18" spans="1:10" ht="12" customHeight="1" x14ac:dyDescent="0.25">
      <c r="A18" s="83" t="str">
        <f>'Total Price List'!A22</f>
        <v>G Data</v>
      </c>
      <c r="B18" s="4">
        <f>'Total Price List'!B22</f>
        <v>20226</v>
      </c>
      <c r="C18" s="3"/>
      <c r="D18" s="3" t="str">
        <f>'Total Price List'!D22</f>
        <v>License 2Y GD AV BUS 250+</v>
      </c>
      <c r="E18" s="3" t="str">
        <f>'Total Price List'!E22</f>
        <v>License 249 &lt; x &lt; 500</v>
      </c>
      <c r="F18" s="4" t="str">
        <f>'Total Price List'!F22</f>
        <v>License</v>
      </c>
      <c r="G18" s="3" t="str">
        <f>'Total Price List'!G22</f>
        <v xml:space="preserve">G Data AntiVirus Business </v>
      </c>
      <c r="H18" s="3" t="str">
        <f>'Total Price List'!H22</f>
        <v>network license 2 years</v>
      </c>
      <c r="I18" s="64">
        <f>'Total Price List'!I22</f>
        <v>22.5</v>
      </c>
      <c r="J18" s="65">
        <f>'Total Price List'!J22</f>
        <v>22.5</v>
      </c>
    </row>
    <row r="19" spans="1:10" ht="12" customHeight="1" x14ac:dyDescent="0.25">
      <c r="A19" s="83" t="str">
        <f>'Total Price List'!A23</f>
        <v>G Data</v>
      </c>
      <c r="B19" s="4">
        <f>'Total Price List'!B23</f>
        <v>20227</v>
      </c>
      <c r="C19" s="3"/>
      <c r="D19" s="3" t="str">
        <f>'Total Price List'!D23</f>
        <v>License 2Y GD AV BUS 500+</v>
      </c>
      <c r="E19" s="3" t="str">
        <f>'Total Price List'!E23</f>
        <v>License 499 &lt; x &lt; 1000</v>
      </c>
      <c r="F19" s="4" t="str">
        <f>'Total Price List'!F23</f>
        <v>License</v>
      </c>
      <c r="G19" s="3" t="str">
        <f>'Total Price List'!G23</f>
        <v xml:space="preserve">G Data AntiVirus Business </v>
      </c>
      <c r="H19" s="3" t="str">
        <f>'Total Price List'!H23</f>
        <v>network license 2 years</v>
      </c>
      <c r="I19" s="64">
        <f>'Total Price List'!I23</f>
        <v>20.25</v>
      </c>
      <c r="J19" s="65">
        <f>'Total Price List'!J23</f>
        <v>20.25</v>
      </c>
    </row>
    <row r="20" spans="1:10" ht="12" customHeight="1" x14ac:dyDescent="0.25">
      <c r="A20" s="83" t="str">
        <f>'Total Price List'!A24</f>
        <v>G Data</v>
      </c>
      <c r="B20" s="4">
        <f>'Total Price List'!B24</f>
        <v>20228</v>
      </c>
      <c r="C20" s="3"/>
      <c r="D20" s="3" t="str">
        <f>'Total Price List'!D24</f>
        <v>License 2Y GD AV BUS 1000+</v>
      </c>
      <c r="E20" s="3" t="str">
        <f>'Total Price List'!E24</f>
        <v>License 999 &lt; x &lt; 2500</v>
      </c>
      <c r="F20" s="4" t="str">
        <f>'Total Price List'!F24</f>
        <v>License</v>
      </c>
      <c r="G20" s="3" t="str">
        <f>'Total Price List'!G24</f>
        <v xml:space="preserve">G Data AntiVirus Business </v>
      </c>
      <c r="H20" s="3" t="str">
        <f>'Total Price List'!H24</f>
        <v>network license 2 years</v>
      </c>
      <c r="I20" s="64">
        <f>'Total Price List'!I24</f>
        <v>18.75</v>
      </c>
      <c r="J20" s="65">
        <f>'Total Price List'!J24</f>
        <v>18.75</v>
      </c>
    </row>
    <row r="21" spans="1:10" ht="12" customHeight="1" x14ac:dyDescent="0.25">
      <c r="A21" s="83" t="str">
        <f>'Total Price List'!A25</f>
        <v>G Data</v>
      </c>
      <c r="B21" s="4">
        <f>'Total Price List'!B25</f>
        <v>20231</v>
      </c>
      <c r="C21" s="3"/>
      <c r="D21" s="3" t="str">
        <f>'Total Price List'!D25</f>
        <v>License 3Y GD AV BUS -9</v>
      </c>
      <c r="E21" s="3" t="str">
        <f>'Total Price List'!E25</f>
        <v>License 4 &lt; x &lt; 10</v>
      </c>
      <c r="F21" s="4" t="str">
        <f>'Total Price List'!F25</f>
        <v>License</v>
      </c>
      <c r="G21" s="3" t="str">
        <f>'Total Price List'!G25</f>
        <v xml:space="preserve">G Data AntiVirus Business </v>
      </c>
      <c r="H21" s="3" t="str">
        <f>'Total Price List'!H25</f>
        <v>network license 3 years</v>
      </c>
      <c r="I21" s="64">
        <f>'Total Price List'!I25</f>
        <v>66.75</v>
      </c>
      <c r="J21" s="65">
        <f>'Total Price List'!J25</f>
        <v>66.75</v>
      </c>
    </row>
    <row r="22" spans="1:10" ht="12" customHeight="1" x14ac:dyDescent="0.25">
      <c r="A22" s="83" t="str">
        <f>'Total Price List'!A26</f>
        <v>G Data</v>
      </c>
      <c r="B22" s="4">
        <f>'Total Price List'!B26</f>
        <v>20232</v>
      </c>
      <c r="C22" s="3"/>
      <c r="D22" s="3" t="str">
        <f>'Total Price List'!D26</f>
        <v>License 3Y GD AV BUS 10+</v>
      </c>
      <c r="E22" s="3" t="str">
        <f>'Total Price List'!E26</f>
        <v>License 9 &lt; x &lt; 25</v>
      </c>
      <c r="F22" s="4" t="str">
        <f>'Total Price List'!F26</f>
        <v>License</v>
      </c>
      <c r="G22" s="3" t="str">
        <f>'Total Price List'!G26</f>
        <v xml:space="preserve">G Data AntiVirus Business </v>
      </c>
      <c r="H22" s="3" t="str">
        <f>'Total Price List'!H26</f>
        <v>network license 3 years</v>
      </c>
      <c r="I22" s="64">
        <f>'Total Price List'!I26</f>
        <v>59.25</v>
      </c>
      <c r="J22" s="65">
        <f>'Total Price List'!J26</f>
        <v>59.25</v>
      </c>
    </row>
    <row r="23" spans="1:10" ht="12" customHeight="1" x14ac:dyDescent="0.25">
      <c r="A23" s="83" t="str">
        <f>'Total Price List'!A27</f>
        <v>G Data</v>
      </c>
      <c r="B23" s="4">
        <f>'Total Price List'!B27</f>
        <v>20233</v>
      </c>
      <c r="C23" s="3"/>
      <c r="D23" s="3" t="str">
        <f>'Total Price List'!D27</f>
        <v>License 3Y GD AV BUS 25+</v>
      </c>
      <c r="E23" s="3" t="str">
        <f>'Total Price List'!E27</f>
        <v>License 24 &lt; x &lt; 50</v>
      </c>
      <c r="F23" s="4" t="str">
        <f>'Total Price List'!F27</f>
        <v>License</v>
      </c>
      <c r="G23" s="3" t="str">
        <f>'Total Price List'!G27</f>
        <v xml:space="preserve">G Data AntiVirus Business </v>
      </c>
      <c r="H23" s="3" t="str">
        <f>'Total Price List'!H27</f>
        <v>network license 3 years</v>
      </c>
      <c r="I23" s="64">
        <f>'Total Price List'!I27</f>
        <v>51</v>
      </c>
      <c r="J23" s="65">
        <f>'Total Price List'!J27</f>
        <v>51</v>
      </c>
    </row>
    <row r="24" spans="1:10" ht="12" customHeight="1" x14ac:dyDescent="0.25">
      <c r="A24" s="83" t="str">
        <f>'Total Price List'!A28</f>
        <v>G Data</v>
      </c>
      <c r="B24" s="4">
        <f>'Total Price List'!B28</f>
        <v>20234</v>
      </c>
      <c r="C24" s="3"/>
      <c r="D24" s="3" t="str">
        <f>'Total Price List'!D28</f>
        <v>License 3Y GD AV BUS 50+</v>
      </c>
      <c r="E24" s="3" t="str">
        <f>'Total Price List'!E28</f>
        <v>License 49 &lt; x &lt; 100</v>
      </c>
      <c r="F24" s="4" t="str">
        <f>'Total Price List'!F28</f>
        <v>License</v>
      </c>
      <c r="G24" s="3" t="str">
        <f>'Total Price List'!G28</f>
        <v xml:space="preserve">G Data AntiVirus Business </v>
      </c>
      <c r="H24" s="3" t="str">
        <f>'Total Price List'!H28</f>
        <v>network license 3 years</v>
      </c>
      <c r="I24" s="64">
        <f>'Total Price List'!I28</f>
        <v>43.5</v>
      </c>
      <c r="J24" s="65">
        <f>'Total Price List'!J28</f>
        <v>43.5</v>
      </c>
    </row>
    <row r="25" spans="1:10" ht="12" customHeight="1" x14ac:dyDescent="0.25">
      <c r="A25" s="83" t="str">
        <f>'Total Price List'!A29</f>
        <v>G Data</v>
      </c>
      <c r="B25" s="4">
        <f>'Total Price List'!B29</f>
        <v>20235</v>
      </c>
      <c r="C25" s="3"/>
      <c r="D25" s="3" t="str">
        <f>'Total Price List'!D29</f>
        <v>License 3Y GD AV BUS 100+</v>
      </c>
      <c r="E25" s="3" t="str">
        <f>'Total Price List'!E29</f>
        <v>License 99 &lt; x &lt; 250</v>
      </c>
      <c r="F25" s="4" t="str">
        <f>'Total Price List'!F29</f>
        <v>License</v>
      </c>
      <c r="G25" s="3" t="str">
        <f>'Total Price List'!G29</f>
        <v xml:space="preserve">G Data AntiVirus Business </v>
      </c>
      <c r="H25" s="3" t="str">
        <f>'Total Price List'!H29</f>
        <v>network license 3 years</v>
      </c>
      <c r="I25" s="64">
        <f>'Total Price List'!I29</f>
        <v>36.75</v>
      </c>
      <c r="J25" s="65">
        <f>'Total Price List'!J29</f>
        <v>36.75</v>
      </c>
    </row>
    <row r="26" spans="1:10" ht="12" customHeight="1" x14ac:dyDescent="0.25">
      <c r="A26" s="83" t="str">
        <f>'Total Price List'!A30</f>
        <v>G Data</v>
      </c>
      <c r="B26" s="4">
        <f>'Total Price List'!B30</f>
        <v>20236</v>
      </c>
      <c r="C26" s="3"/>
      <c r="D26" s="3" t="str">
        <f>'Total Price List'!D30</f>
        <v>License 3Y GD AV BUS 250+</v>
      </c>
      <c r="E26" s="3" t="str">
        <f>'Total Price List'!E30</f>
        <v>License 249 &lt; x &lt; 500</v>
      </c>
      <c r="F26" s="4" t="str">
        <f>'Total Price List'!F30</f>
        <v>License</v>
      </c>
      <c r="G26" s="3" t="str">
        <f>'Total Price List'!G30</f>
        <v xml:space="preserve">G Data AntiVirus Business </v>
      </c>
      <c r="H26" s="3" t="str">
        <f>'Total Price List'!H30</f>
        <v>network license 3 years</v>
      </c>
      <c r="I26" s="64">
        <f>'Total Price List'!I30</f>
        <v>30.75</v>
      </c>
      <c r="J26" s="65">
        <f>'Total Price List'!J30</f>
        <v>30.75</v>
      </c>
    </row>
    <row r="27" spans="1:10" ht="12" customHeight="1" x14ac:dyDescent="0.25">
      <c r="A27" s="83" t="str">
        <f>'Total Price List'!A31</f>
        <v>G Data</v>
      </c>
      <c r="B27" s="4">
        <f>'Total Price List'!B31</f>
        <v>20237</v>
      </c>
      <c r="C27" s="3"/>
      <c r="D27" s="3" t="str">
        <f>'Total Price List'!D31</f>
        <v>License 3Y GD AV BUS 500+</v>
      </c>
      <c r="E27" s="3" t="str">
        <f>'Total Price List'!E31</f>
        <v>License 499 &lt; x &lt; 1000</v>
      </c>
      <c r="F27" s="4" t="str">
        <f>'Total Price List'!F31</f>
        <v>License</v>
      </c>
      <c r="G27" s="3" t="str">
        <f>'Total Price List'!G31</f>
        <v xml:space="preserve">G Data AntiVirus Business </v>
      </c>
      <c r="H27" s="3" t="str">
        <f>'Total Price List'!H31</f>
        <v>network license 3 years</v>
      </c>
      <c r="I27" s="64">
        <f>'Total Price List'!I31</f>
        <v>27.75</v>
      </c>
      <c r="J27" s="65">
        <f>'Total Price List'!J31</f>
        <v>27.75</v>
      </c>
    </row>
    <row r="28" spans="1:10" ht="12" customHeight="1" thickBot="1" x14ac:dyDescent="0.3">
      <c r="A28" s="84" t="str">
        <f>'Total Price List'!A32</f>
        <v>G Data</v>
      </c>
      <c r="B28" s="24">
        <f>'Total Price List'!B32</f>
        <v>20238</v>
      </c>
      <c r="C28" s="25"/>
      <c r="D28" s="25" t="str">
        <f>'Total Price List'!D32</f>
        <v>License 3Y GD AV BUS 1000+</v>
      </c>
      <c r="E28" s="25" t="str">
        <f>'Total Price List'!E32</f>
        <v>License 999 &lt; x &lt; 2500</v>
      </c>
      <c r="F28" s="24" t="str">
        <f>'Total Price List'!F32</f>
        <v>License</v>
      </c>
      <c r="G28" s="25" t="str">
        <f>'Total Price List'!G32</f>
        <v xml:space="preserve">G Data AntiVirus Business </v>
      </c>
      <c r="H28" s="25" t="str">
        <f>'Total Price List'!H32</f>
        <v>network license 3 years</v>
      </c>
      <c r="I28" s="66">
        <f>'Total Price List'!I32</f>
        <v>24.75</v>
      </c>
      <c r="J28" s="67">
        <f>'Total Price List'!J32</f>
        <v>24.75</v>
      </c>
    </row>
    <row r="29" spans="1:10" ht="12" customHeight="1" x14ac:dyDescent="0.25">
      <c r="A29" s="99" t="str">
        <f>'Total Price List'!A33</f>
        <v>G Data AntiVirus Business network license renewal</v>
      </c>
      <c r="B29" s="99"/>
      <c r="C29" s="99"/>
      <c r="D29" s="99"/>
      <c r="E29" s="99"/>
      <c r="F29" s="99"/>
      <c r="G29" s="99"/>
      <c r="H29" s="99"/>
      <c r="I29" s="99"/>
      <c r="J29" s="100"/>
    </row>
    <row r="30" spans="1:10" ht="12" customHeight="1" x14ac:dyDescent="0.25">
      <c r="A30" s="85" t="str">
        <f>'Total Price List'!A34</f>
        <v>G Data</v>
      </c>
      <c r="B30" s="7">
        <f>'Total Price List'!B34</f>
        <v>20261</v>
      </c>
      <c r="C30" s="6"/>
      <c r="D30" s="6" t="str">
        <f>'Total Price List'!D34</f>
        <v>Renewal  1Y GD AV BUS -9</v>
      </c>
      <c r="E30" s="6" t="str">
        <f>'Total Price List'!E34</f>
        <v>Renewal 4 &lt; x &lt; 10</v>
      </c>
      <c r="F30" s="7" t="str">
        <f>'Total Price List'!F34</f>
        <v>Renewal</v>
      </c>
      <c r="G30" s="6" t="str">
        <f>'Total Price List'!G34</f>
        <v xml:space="preserve">G Data AntiVirus Business </v>
      </c>
      <c r="H30" s="6" t="str">
        <f>'Total Price List'!H34</f>
        <v>network license renewal 1 year</v>
      </c>
      <c r="I30" s="77">
        <f>'Total Price List'!I34</f>
        <v>20</v>
      </c>
      <c r="J30" s="72">
        <f>'Total Price List'!J34</f>
        <v>20</v>
      </c>
    </row>
    <row r="31" spans="1:10" ht="12" customHeight="1" x14ac:dyDescent="0.25">
      <c r="A31" s="85" t="str">
        <f>'Total Price List'!A35</f>
        <v>G Data</v>
      </c>
      <c r="B31" s="7">
        <f>'Total Price List'!B35</f>
        <v>20262</v>
      </c>
      <c r="C31" s="6"/>
      <c r="D31" s="6" t="str">
        <f>'Total Price List'!D35</f>
        <v>Renewal  1Y GD AV BUS 10+</v>
      </c>
      <c r="E31" s="6" t="str">
        <f>'Total Price List'!E35</f>
        <v>Renewal 9 &lt; x &lt; 25</v>
      </c>
      <c r="F31" s="7" t="str">
        <f>'Total Price List'!F35</f>
        <v>Renewal</v>
      </c>
      <c r="G31" s="6" t="str">
        <f>'Total Price List'!G35</f>
        <v xml:space="preserve">G Data AntiVirus Business </v>
      </c>
      <c r="H31" s="6" t="str">
        <f>'Total Price List'!H35</f>
        <v>network license renewal 1 year</v>
      </c>
      <c r="I31" s="77">
        <f>'Total Price List'!I35</f>
        <v>19.600000000000001</v>
      </c>
      <c r="J31" s="72">
        <f>'Total Price List'!J35</f>
        <v>19.600000000000001</v>
      </c>
    </row>
    <row r="32" spans="1:10" ht="12" customHeight="1" x14ac:dyDescent="0.25">
      <c r="A32" s="85" t="str">
        <f>'Total Price List'!A36</f>
        <v>G Data</v>
      </c>
      <c r="B32" s="7">
        <f>'Total Price List'!B36</f>
        <v>20263</v>
      </c>
      <c r="C32" s="6"/>
      <c r="D32" s="6" t="str">
        <f>'Total Price List'!D36</f>
        <v>Renewal  1Y GD AV BUS 25+</v>
      </c>
      <c r="E32" s="6" t="str">
        <f>'Total Price List'!E36</f>
        <v>Renewal 24 &lt; x &lt; 50</v>
      </c>
      <c r="F32" s="7" t="str">
        <f>'Total Price List'!F36</f>
        <v>Renewal</v>
      </c>
      <c r="G32" s="6" t="str">
        <f>'Total Price List'!G36</f>
        <v xml:space="preserve">G Data AntiVirus Business </v>
      </c>
      <c r="H32" s="6" t="str">
        <f>'Total Price List'!H36</f>
        <v>network license renewal 1 year</v>
      </c>
      <c r="I32" s="77">
        <f>'Total Price List'!I36</f>
        <v>16.48</v>
      </c>
      <c r="J32" s="72">
        <f>'Total Price List'!J36</f>
        <v>16.48</v>
      </c>
    </row>
    <row r="33" spans="1:10" ht="12" customHeight="1" x14ac:dyDescent="0.25">
      <c r="A33" s="85" t="str">
        <f>'Total Price List'!A37</f>
        <v>G Data</v>
      </c>
      <c r="B33" s="7">
        <f>'Total Price List'!B37</f>
        <v>20264</v>
      </c>
      <c r="C33" s="6"/>
      <c r="D33" s="6" t="str">
        <f>'Total Price List'!D37</f>
        <v>Renewal  1Y GD AV BUS 50+</v>
      </c>
      <c r="E33" s="6" t="str">
        <f>'Total Price List'!E37</f>
        <v>Renewal 49 &lt; x &lt; 100</v>
      </c>
      <c r="F33" s="7" t="str">
        <f>'Total Price List'!F37</f>
        <v>Renewal</v>
      </c>
      <c r="G33" s="6" t="str">
        <f>'Total Price List'!G37</f>
        <v xml:space="preserve">G Data AntiVirus Business </v>
      </c>
      <c r="H33" s="6" t="str">
        <f>'Total Price List'!H37</f>
        <v>network license renewal 1 year</v>
      </c>
      <c r="I33" s="77">
        <f>'Total Price List'!I37</f>
        <v>15.440000000000001</v>
      </c>
      <c r="J33" s="72">
        <f>'Total Price List'!J37</f>
        <v>15.440000000000001</v>
      </c>
    </row>
    <row r="34" spans="1:10" ht="12" customHeight="1" x14ac:dyDescent="0.25">
      <c r="A34" s="85" t="str">
        <f>'Total Price List'!A38</f>
        <v>G Data</v>
      </c>
      <c r="B34" s="7">
        <f>'Total Price List'!B38</f>
        <v>20265</v>
      </c>
      <c r="C34" s="6"/>
      <c r="D34" s="6" t="str">
        <f>'Total Price List'!D38</f>
        <v>Renewal  1Y GD AV BUS 100+</v>
      </c>
      <c r="E34" s="6" t="str">
        <f>'Total Price List'!E38</f>
        <v>Renewal 99 &lt; x &lt; 250</v>
      </c>
      <c r="F34" s="7" t="str">
        <f>'Total Price List'!F38</f>
        <v>Renewal</v>
      </c>
      <c r="G34" s="6" t="str">
        <f>'Total Price List'!G38</f>
        <v xml:space="preserve">G Data AntiVirus Business </v>
      </c>
      <c r="H34" s="6" t="str">
        <f>'Total Price List'!H38</f>
        <v>network license renewal 1 year</v>
      </c>
      <c r="I34" s="77">
        <f>'Total Price List'!I38</f>
        <v>12.520000000000001</v>
      </c>
      <c r="J34" s="72">
        <f>'Total Price List'!J38</f>
        <v>12.520000000000001</v>
      </c>
    </row>
    <row r="35" spans="1:10" ht="12" customHeight="1" x14ac:dyDescent="0.25">
      <c r="A35" s="85" t="str">
        <f>'Total Price List'!A39</f>
        <v>G Data</v>
      </c>
      <c r="B35" s="7">
        <f>'Total Price List'!B39</f>
        <v>20266</v>
      </c>
      <c r="C35" s="6"/>
      <c r="D35" s="6" t="str">
        <f>'Total Price List'!D39</f>
        <v>Renewal  1Y GD AV BUS 250+</v>
      </c>
      <c r="E35" s="6" t="str">
        <f>'Total Price List'!E39</f>
        <v>Renewal 249 &lt; x &lt; 500</v>
      </c>
      <c r="F35" s="7" t="str">
        <f>'Total Price List'!F39</f>
        <v>Renewal</v>
      </c>
      <c r="G35" s="6" t="str">
        <f>'Total Price List'!G39</f>
        <v xml:space="preserve">G Data AntiVirus Business </v>
      </c>
      <c r="H35" s="6" t="str">
        <f>'Total Price List'!H39</f>
        <v>network license renewal 1 year</v>
      </c>
      <c r="I35" s="77">
        <f>'Total Price List'!I39</f>
        <v>9.8079999999999998</v>
      </c>
      <c r="J35" s="72">
        <f>'Total Price List'!J39</f>
        <v>9.8079999999999998</v>
      </c>
    </row>
    <row r="36" spans="1:10" ht="12" customHeight="1" x14ac:dyDescent="0.25">
      <c r="A36" s="85" t="str">
        <f>'Total Price List'!A40</f>
        <v>G Data</v>
      </c>
      <c r="B36" s="7">
        <f>'Total Price List'!B40</f>
        <v>20267</v>
      </c>
      <c r="C36" s="6"/>
      <c r="D36" s="6" t="str">
        <f>'Total Price List'!D40</f>
        <v>Renewal  1Y GD AV BUS 500+</v>
      </c>
      <c r="E36" s="6" t="str">
        <f>'Total Price List'!E40</f>
        <v>Renewal 499 &lt; x &lt; 1000</v>
      </c>
      <c r="F36" s="7" t="str">
        <f>'Total Price List'!F40</f>
        <v>Renewal</v>
      </c>
      <c r="G36" s="6" t="str">
        <f>'Total Price List'!G40</f>
        <v xml:space="preserve">G Data AntiVirus Business </v>
      </c>
      <c r="H36" s="6" t="str">
        <f>'Total Price List'!H40</f>
        <v>network license renewal 1 year</v>
      </c>
      <c r="I36" s="77">
        <f>'Total Price List'!I40</f>
        <v>8.5040000000000013</v>
      </c>
      <c r="J36" s="72">
        <f>'Total Price List'!J40</f>
        <v>8.5040000000000013</v>
      </c>
    </row>
    <row r="37" spans="1:10" ht="12" customHeight="1" x14ac:dyDescent="0.25">
      <c r="A37" s="85" t="str">
        <f>'Total Price List'!A41</f>
        <v>G Data</v>
      </c>
      <c r="B37" s="7">
        <f>'Total Price List'!B41</f>
        <v>20268</v>
      </c>
      <c r="C37" s="6"/>
      <c r="D37" s="6" t="str">
        <f>'Total Price List'!D41</f>
        <v>Renewal  1Y GD AV BUS 1000+</v>
      </c>
      <c r="E37" s="6" t="str">
        <f>'Total Price List'!E41</f>
        <v>Renewal 999 &lt; x &lt; 2500</v>
      </c>
      <c r="F37" s="7" t="str">
        <f>'Total Price List'!F41</f>
        <v>Renewal</v>
      </c>
      <c r="G37" s="6" t="str">
        <f>'Total Price List'!G41</f>
        <v xml:space="preserve">G Data AntiVirus Business </v>
      </c>
      <c r="H37" s="6" t="str">
        <f>'Total Price List'!H41</f>
        <v>network license renewal 1 year</v>
      </c>
      <c r="I37" s="77">
        <f>'Total Price List'!I41</f>
        <v>7.28</v>
      </c>
      <c r="J37" s="72">
        <f>'Total Price List'!J41</f>
        <v>7.28</v>
      </c>
    </row>
    <row r="38" spans="1:10" ht="12" customHeight="1" x14ac:dyDescent="0.25">
      <c r="A38" s="85" t="str">
        <f>'Total Price List'!A42</f>
        <v>G Data</v>
      </c>
      <c r="B38" s="7">
        <f>'Total Price List'!B42</f>
        <v>20271</v>
      </c>
      <c r="C38" s="6"/>
      <c r="D38" s="6" t="str">
        <f>'Total Price List'!D42</f>
        <v>Renewal  2Y GD AV BUS -9</v>
      </c>
      <c r="E38" s="6" t="str">
        <f>'Total Price List'!E42</f>
        <v>Renewal 4 &lt; x &lt; 10</v>
      </c>
      <c r="F38" s="7" t="str">
        <f>'Total Price List'!F42</f>
        <v>Renewal</v>
      </c>
      <c r="G38" s="6" t="str">
        <f>'Total Price List'!G42</f>
        <v xml:space="preserve">G Data AntiVirus Business </v>
      </c>
      <c r="H38" s="6" t="str">
        <f>'Total Price List'!H42</f>
        <v>network license renewal 2 years</v>
      </c>
      <c r="I38" s="77">
        <f>'Total Price List'!I42</f>
        <v>35</v>
      </c>
      <c r="J38" s="72">
        <f>'Total Price List'!J42</f>
        <v>35</v>
      </c>
    </row>
    <row r="39" spans="1:10" ht="12" customHeight="1" x14ac:dyDescent="0.25">
      <c r="A39" s="85" t="str">
        <f>'Total Price List'!A43</f>
        <v>G Data</v>
      </c>
      <c r="B39" s="7">
        <f>'Total Price List'!B43</f>
        <v>20272</v>
      </c>
      <c r="C39" s="6"/>
      <c r="D39" s="6" t="str">
        <f>'Total Price List'!D43</f>
        <v>Renewal  2Y GD AV BUS 10+</v>
      </c>
      <c r="E39" s="6" t="str">
        <f>'Total Price List'!E43</f>
        <v>Renewal 9 &lt; x &lt; 25</v>
      </c>
      <c r="F39" s="7" t="str">
        <f>'Total Price List'!F43</f>
        <v>Renewal</v>
      </c>
      <c r="G39" s="6" t="str">
        <f>'Total Price List'!G43</f>
        <v xml:space="preserve">G Data AntiVirus Business </v>
      </c>
      <c r="H39" s="6" t="str">
        <f>'Total Price List'!H43</f>
        <v>network license renewal 2 years</v>
      </c>
      <c r="I39" s="77">
        <f>'Total Price List'!I43</f>
        <v>34.300000000000004</v>
      </c>
      <c r="J39" s="72">
        <f>'Total Price List'!J43</f>
        <v>34.300000000000004</v>
      </c>
    </row>
    <row r="40" spans="1:10" ht="12" customHeight="1" x14ac:dyDescent="0.25">
      <c r="A40" s="85" t="str">
        <f>'Total Price List'!A44</f>
        <v>G Data</v>
      </c>
      <c r="B40" s="7">
        <f>'Total Price List'!B44</f>
        <v>20273</v>
      </c>
      <c r="C40" s="6"/>
      <c r="D40" s="6" t="str">
        <f>'Total Price List'!D44</f>
        <v>Renewal  2Y GD AV BUS 25+</v>
      </c>
      <c r="E40" s="6" t="str">
        <f>'Total Price List'!E44</f>
        <v>Renewal 24 &lt; x &lt; 50</v>
      </c>
      <c r="F40" s="7" t="str">
        <f>'Total Price List'!F44</f>
        <v>Renewal</v>
      </c>
      <c r="G40" s="6" t="str">
        <f>'Total Price List'!G44</f>
        <v xml:space="preserve">G Data AntiVirus Business </v>
      </c>
      <c r="H40" s="6" t="str">
        <f>'Total Price List'!H44</f>
        <v>network license renewal 2 years</v>
      </c>
      <c r="I40" s="77">
        <f>'Total Price List'!I44</f>
        <v>28.840000000000003</v>
      </c>
      <c r="J40" s="72">
        <f>'Total Price List'!J44</f>
        <v>28.840000000000003</v>
      </c>
    </row>
    <row r="41" spans="1:10" ht="12" customHeight="1" x14ac:dyDescent="0.25">
      <c r="A41" s="85" t="str">
        <f>'Total Price List'!A45</f>
        <v>G Data</v>
      </c>
      <c r="B41" s="7">
        <f>'Total Price List'!B45</f>
        <v>20274</v>
      </c>
      <c r="C41" s="6"/>
      <c r="D41" s="6" t="str">
        <f>'Total Price List'!D45</f>
        <v>Renewal  2Y GD AV BUS 50+</v>
      </c>
      <c r="E41" s="6" t="str">
        <f>'Total Price List'!E45</f>
        <v>Renewal 49 &lt; x &lt; 100</v>
      </c>
      <c r="F41" s="7" t="str">
        <f>'Total Price List'!F45</f>
        <v>Renewal</v>
      </c>
      <c r="G41" s="6" t="str">
        <f>'Total Price List'!G45</f>
        <v xml:space="preserve">G Data AntiVirus Business </v>
      </c>
      <c r="H41" s="6" t="str">
        <f>'Total Price List'!H45</f>
        <v>network license renewal 2 years</v>
      </c>
      <c r="I41" s="77">
        <f>'Total Price List'!I45</f>
        <v>27.02</v>
      </c>
      <c r="J41" s="72">
        <f>'Total Price List'!J45</f>
        <v>27.02</v>
      </c>
    </row>
    <row r="42" spans="1:10" ht="12" customHeight="1" x14ac:dyDescent="0.25">
      <c r="A42" s="85" t="str">
        <f>'Total Price List'!A46</f>
        <v>G Data</v>
      </c>
      <c r="B42" s="7">
        <f>'Total Price List'!B46</f>
        <v>20275</v>
      </c>
      <c r="C42" s="6"/>
      <c r="D42" s="6" t="str">
        <f>'Total Price List'!D46</f>
        <v>Renewal  2Y GD AV BUS 100+</v>
      </c>
      <c r="E42" s="6" t="str">
        <f>'Total Price List'!E46</f>
        <v>Renewal 99 &lt; x &lt; 250</v>
      </c>
      <c r="F42" s="7" t="str">
        <f>'Total Price List'!F46</f>
        <v>Renewal</v>
      </c>
      <c r="G42" s="6" t="str">
        <f>'Total Price List'!G46</f>
        <v xml:space="preserve">G Data AntiVirus Business </v>
      </c>
      <c r="H42" s="6" t="str">
        <f>'Total Price List'!H46</f>
        <v>network license renewal 2 years</v>
      </c>
      <c r="I42" s="77">
        <f>'Total Price List'!I46</f>
        <v>21.91</v>
      </c>
      <c r="J42" s="72">
        <f>'Total Price List'!J46</f>
        <v>21.91</v>
      </c>
    </row>
    <row r="43" spans="1:10" ht="12" customHeight="1" x14ac:dyDescent="0.25">
      <c r="A43" s="85" t="str">
        <f>'Total Price List'!A47</f>
        <v>G Data</v>
      </c>
      <c r="B43" s="7">
        <f>'Total Price List'!B47</f>
        <v>20276</v>
      </c>
      <c r="C43" s="6"/>
      <c r="D43" s="6" t="str">
        <f>'Total Price List'!D47</f>
        <v>Renewal  2Y GD AV BUS 250+</v>
      </c>
      <c r="E43" s="6" t="str">
        <f>'Total Price List'!E47</f>
        <v>Renewal 249 &lt; x &lt; 500</v>
      </c>
      <c r="F43" s="7" t="str">
        <f>'Total Price List'!F47</f>
        <v>Renewal</v>
      </c>
      <c r="G43" s="6" t="str">
        <f>'Total Price List'!G47</f>
        <v xml:space="preserve">G Data AntiVirus Business </v>
      </c>
      <c r="H43" s="6" t="str">
        <f>'Total Price List'!H47</f>
        <v>network license renewal 2 years</v>
      </c>
      <c r="I43" s="77">
        <f>'Total Price List'!I47</f>
        <v>17.163999999999998</v>
      </c>
      <c r="J43" s="72">
        <f>'Total Price List'!J47</f>
        <v>17.163999999999998</v>
      </c>
    </row>
    <row r="44" spans="1:10" ht="12" customHeight="1" x14ac:dyDescent="0.25">
      <c r="A44" s="85" t="str">
        <f>'Total Price List'!A48</f>
        <v>G Data</v>
      </c>
      <c r="B44" s="7">
        <f>'Total Price List'!B48</f>
        <v>20277</v>
      </c>
      <c r="C44" s="6"/>
      <c r="D44" s="6" t="str">
        <f>'Total Price List'!D48</f>
        <v>Renewal  2Y GD AV BUS 500+</v>
      </c>
      <c r="E44" s="6" t="str">
        <f>'Total Price List'!E48</f>
        <v>Renewal 499 &lt; x &lt; 1000</v>
      </c>
      <c r="F44" s="7" t="str">
        <f>'Total Price List'!F48</f>
        <v>Renewal</v>
      </c>
      <c r="G44" s="6" t="str">
        <f>'Total Price List'!G48</f>
        <v xml:space="preserve">G Data AntiVirus Business </v>
      </c>
      <c r="H44" s="6" t="str">
        <f>'Total Price List'!H48</f>
        <v>network license renewal 2 years</v>
      </c>
      <c r="I44" s="77">
        <f>'Total Price List'!I48</f>
        <v>14.882000000000003</v>
      </c>
      <c r="J44" s="72">
        <f>'Total Price List'!J48</f>
        <v>14.882000000000003</v>
      </c>
    </row>
    <row r="45" spans="1:10" ht="12" customHeight="1" x14ac:dyDescent="0.25">
      <c r="A45" s="85" t="str">
        <f>'Total Price List'!A49</f>
        <v>G Data</v>
      </c>
      <c r="B45" s="7">
        <f>'Total Price List'!B49</f>
        <v>20278</v>
      </c>
      <c r="C45" s="6"/>
      <c r="D45" s="6" t="str">
        <f>'Total Price List'!D49</f>
        <v>Renewal  2Y GD AV BUS 1000+</v>
      </c>
      <c r="E45" s="6" t="str">
        <f>'Total Price List'!E49</f>
        <v>Renewal 999 &lt; x &lt; 2500</v>
      </c>
      <c r="F45" s="7" t="str">
        <f>'Total Price List'!F49</f>
        <v>Renewal</v>
      </c>
      <c r="G45" s="6" t="str">
        <f>'Total Price List'!G49</f>
        <v xml:space="preserve">G Data AntiVirus Business </v>
      </c>
      <c r="H45" s="6" t="str">
        <f>'Total Price List'!H49</f>
        <v>network license renewal 2 years</v>
      </c>
      <c r="I45" s="77">
        <f>'Total Price List'!I49</f>
        <v>13.52</v>
      </c>
      <c r="J45" s="72">
        <f>'Total Price List'!J49</f>
        <v>13.52</v>
      </c>
    </row>
    <row r="46" spans="1:10" ht="12" customHeight="1" x14ac:dyDescent="0.25">
      <c r="A46" s="85" t="str">
        <f>'Total Price List'!A50</f>
        <v>G Data</v>
      </c>
      <c r="B46" s="7">
        <f>'Total Price List'!B50</f>
        <v>20281</v>
      </c>
      <c r="C46" s="6"/>
      <c r="D46" s="6" t="str">
        <f>'Total Price List'!D50</f>
        <v>Renewal  3Y GD AV BUS -9</v>
      </c>
      <c r="E46" s="6" t="str">
        <f>'Total Price List'!E50</f>
        <v>Renewal 4 &lt; x &lt; 10</v>
      </c>
      <c r="F46" s="7" t="str">
        <f>'Total Price List'!F50</f>
        <v>Renewal</v>
      </c>
      <c r="G46" s="6" t="str">
        <f>'Total Price List'!G50</f>
        <v xml:space="preserve">G Data AntiVirus Business </v>
      </c>
      <c r="H46" s="6" t="str">
        <f>'Total Price List'!H50</f>
        <v>network license renewal 3 years</v>
      </c>
      <c r="I46" s="77">
        <f>'Total Price List'!I50</f>
        <v>50</v>
      </c>
      <c r="J46" s="72">
        <f>'Total Price List'!J50</f>
        <v>50</v>
      </c>
    </row>
    <row r="47" spans="1:10" ht="12" customHeight="1" x14ac:dyDescent="0.25">
      <c r="A47" s="85" t="str">
        <f>'Total Price List'!A51</f>
        <v>G Data</v>
      </c>
      <c r="B47" s="7">
        <f>'Total Price List'!B51</f>
        <v>20282</v>
      </c>
      <c r="C47" s="6"/>
      <c r="D47" s="6" t="str">
        <f>'Total Price List'!D51</f>
        <v>Renewal  3Y GD AV BUS 10+</v>
      </c>
      <c r="E47" s="6" t="str">
        <f>'Total Price List'!E51</f>
        <v>Renewal 9 &lt; x &lt; 25</v>
      </c>
      <c r="F47" s="7" t="str">
        <f>'Total Price List'!F51</f>
        <v>Renewal</v>
      </c>
      <c r="G47" s="6" t="str">
        <f>'Total Price List'!G51</f>
        <v xml:space="preserve">G Data AntiVirus Business </v>
      </c>
      <c r="H47" s="6" t="str">
        <f>'Total Price List'!H51</f>
        <v>network license renewal 3 years</v>
      </c>
      <c r="I47" s="77">
        <f>'Total Price List'!I51</f>
        <v>49</v>
      </c>
      <c r="J47" s="72">
        <f>'Total Price List'!J51</f>
        <v>49</v>
      </c>
    </row>
    <row r="48" spans="1:10" ht="12" customHeight="1" x14ac:dyDescent="0.25">
      <c r="A48" s="85" t="str">
        <f>'Total Price List'!A52</f>
        <v>G Data</v>
      </c>
      <c r="B48" s="7">
        <f>'Total Price List'!B52</f>
        <v>20283</v>
      </c>
      <c r="C48" s="6"/>
      <c r="D48" s="6" t="str">
        <f>'Total Price List'!D52</f>
        <v>Renewal  3Y GD AV BUS 25+</v>
      </c>
      <c r="E48" s="6" t="str">
        <f>'Total Price List'!E52</f>
        <v>Renewal 24 &lt; x &lt; 50</v>
      </c>
      <c r="F48" s="7" t="str">
        <f>'Total Price List'!F52</f>
        <v>Renewal</v>
      </c>
      <c r="G48" s="6" t="str">
        <f>'Total Price List'!G52</f>
        <v xml:space="preserve">G Data AntiVirus Business </v>
      </c>
      <c r="H48" s="6" t="str">
        <f>'Total Price List'!H52</f>
        <v>network license renewal 3 years</v>
      </c>
      <c r="I48" s="77">
        <f>'Total Price List'!I52</f>
        <v>41.2</v>
      </c>
      <c r="J48" s="72">
        <f>'Total Price List'!J52</f>
        <v>41.2</v>
      </c>
    </row>
    <row r="49" spans="1:10" ht="12" customHeight="1" x14ac:dyDescent="0.25">
      <c r="A49" s="85" t="str">
        <f>'Total Price List'!A53</f>
        <v>G Data</v>
      </c>
      <c r="B49" s="7">
        <f>'Total Price List'!B53</f>
        <v>20284</v>
      </c>
      <c r="C49" s="6"/>
      <c r="D49" s="6" t="str">
        <f>'Total Price List'!D53</f>
        <v>Renewal  3Y GD AV BUS 50+</v>
      </c>
      <c r="E49" s="6" t="str">
        <f>'Total Price List'!E53</f>
        <v>Renewal 49 &lt; x &lt; 100</v>
      </c>
      <c r="F49" s="7" t="str">
        <f>'Total Price List'!F53</f>
        <v>Renewal</v>
      </c>
      <c r="G49" s="6" t="str">
        <f>'Total Price List'!G53</f>
        <v xml:space="preserve">G Data AntiVirus Business </v>
      </c>
      <c r="H49" s="6" t="str">
        <f>'Total Price List'!H53</f>
        <v>network license renewal 3 years</v>
      </c>
      <c r="I49" s="77">
        <f>'Total Price List'!I53</f>
        <v>38.6</v>
      </c>
      <c r="J49" s="72">
        <f>'Total Price List'!J53</f>
        <v>38.6</v>
      </c>
    </row>
    <row r="50" spans="1:10" ht="12" customHeight="1" x14ac:dyDescent="0.25">
      <c r="A50" s="85" t="str">
        <f>'Total Price List'!A54</f>
        <v>G Data</v>
      </c>
      <c r="B50" s="7">
        <f>'Total Price List'!B54</f>
        <v>20285</v>
      </c>
      <c r="C50" s="6"/>
      <c r="D50" s="6" t="str">
        <f>'Total Price List'!D54</f>
        <v>Renewal  3Y GD AV BUS 100+</v>
      </c>
      <c r="E50" s="6" t="str">
        <f>'Total Price List'!E54</f>
        <v>Renewal 99 &lt; x &lt; 250</v>
      </c>
      <c r="F50" s="7" t="str">
        <f>'Total Price List'!F54</f>
        <v>Renewal</v>
      </c>
      <c r="G50" s="6" t="str">
        <f>'Total Price List'!G54</f>
        <v xml:space="preserve">G Data AntiVirus Business </v>
      </c>
      <c r="H50" s="6" t="str">
        <f>'Total Price List'!H54</f>
        <v>network license renewal 3 years</v>
      </c>
      <c r="I50" s="77">
        <f>'Total Price List'!I54</f>
        <v>31.3</v>
      </c>
      <c r="J50" s="72">
        <f>'Total Price List'!J54</f>
        <v>31.3</v>
      </c>
    </row>
    <row r="51" spans="1:10" ht="12" customHeight="1" x14ac:dyDescent="0.25">
      <c r="A51" s="85" t="str">
        <f>'Total Price List'!A55</f>
        <v>G Data</v>
      </c>
      <c r="B51" s="7">
        <f>'Total Price List'!B55</f>
        <v>20286</v>
      </c>
      <c r="C51" s="6"/>
      <c r="D51" s="6" t="str">
        <f>'Total Price List'!D55</f>
        <v>Renewal  3Y GD AV BUS 250+</v>
      </c>
      <c r="E51" s="6" t="str">
        <f>'Total Price List'!E55</f>
        <v>Renewal 249 &lt; x &lt; 500</v>
      </c>
      <c r="F51" s="7" t="str">
        <f>'Total Price List'!F55</f>
        <v>Renewal</v>
      </c>
      <c r="G51" s="6" t="str">
        <f>'Total Price List'!G55</f>
        <v xml:space="preserve">G Data AntiVirus Business </v>
      </c>
      <c r="H51" s="6" t="str">
        <f>'Total Price List'!H55</f>
        <v>network license renewal 3 years</v>
      </c>
      <c r="I51" s="77">
        <f>'Total Price List'!I55</f>
        <v>24.52</v>
      </c>
      <c r="J51" s="72">
        <f>'Total Price List'!J55</f>
        <v>24.52</v>
      </c>
    </row>
    <row r="52" spans="1:10" ht="12" customHeight="1" x14ac:dyDescent="0.25">
      <c r="A52" s="85" t="str">
        <f>'Total Price List'!A56</f>
        <v>G Data</v>
      </c>
      <c r="B52" s="7">
        <f>'Total Price List'!B56</f>
        <v>20287</v>
      </c>
      <c r="C52" s="6"/>
      <c r="D52" s="6" t="str">
        <f>'Total Price List'!D56</f>
        <v>Renewal  3Y GD AV BUS 500+</v>
      </c>
      <c r="E52" s="6" t="str">
        <f>'Total Price List'!E56</f>
        <v>Renewal 499 &lt; x &lt; 1000</v>
      </c>
      <c r="F52" s="7" t="str">
        <f>'Total Price List'!F56</f>
        <v>Renewal</v>
      </c>
      <c r="G52" s="6" t="str">
        <f>'Total Price List'!G56</f>
        <v xml:space="preserve">G Data AntiVirus Business </v>
      </c>
      <c r="H52" s="6" t="str">
        <f>'Total Price List'!H56</f>
        <v>network license renewal 3 years</v>
      </c>
      <c r="I52" s="77">
        <f>'Total Price List'!I56</f>
        <v>21.260000000000005</v>
      </c>
      <c r="J52" s="72">
        <f>'Total Price List'!J56</f>
        <v>21.260000000000005</v>
      </c>
    </row>
    <row r="53" spans="1:10" ht="12" customHeight="1" thickBot="1" x14ac:dyDescent="0.3">
      <c r="A53" s="86" t="str">
        <f>'Total Price List'!A57</f>
        <v>G Data</v>
      </c>
      <c r="B53" s="20">
        <f>'Total Price List'!B57</f>
        <v>20288</v>
      </c>
      <c r="C53" s="21"/>
      <c r="D53" s="21" t="str">
        <f>'Total Price List'!D57</f>
        <v>Renewal  3Y GD AV BUS 1000+</v>
      </c>
      <c r="E53" s="21" t="str">
        <f>'Total Price List'!E57</f>
        <v>Renewal 999 &lt; x &lt; 2500</v>
      </c>
      <c r="F53" s="20" t="str">
        <f>'Total Price List'!F57</f>
        <v>Renewal</v>
      </c>
      <c r="G53" s="21" t="str">
        <f>'Total Price List'!G57</f>
        <v xml:space="preserve">G Data AntiVirus Business </v>
      </c>
      <c r="H53" s="21" t="str">
        <f>'Total Price List'!H57</f>
        <v>network license renewal 3 years</v>
      </c>
      <c r="I53" s="78">
        <f>'Total Price List'!I57</f>
        <v>18.2</v>
      </c>
      <c r="J53" s="73">
        <f>'Total Price List'!J57</f>
        <v>18.2</v>
      </c>
    </row>
    <row r="54" spans="1:10" ht="12" customHeight="1" x14ac:dyDescent="0.25">
      <c r="A54" s="99" t="str">
        <f>'Total Price List'!A58</f>
        <v>G Data AntiVirus + MailSecurity + Backup network license</v>
      </c>
      <c r="B54" s="99"/>
      <c r="C54" s="99"/>
      <c r="D54" s="99"/>
      <c r="E54" s="99"/>
      <c r="F54" s="99"/>
      <c r="G54" s="99"/>
      <c r="H54" s="99"/>
      <c r="I54" s="99"/>
      <c r="J54" s="100"/>
    </row>
    <row r="55" spans="1:10" ht="12" customHeight="1" x14ac:dyDescent="0.25">
      <c r="A55" s="83" t="str">
        <f>'Total Price List'!A59</f>
        <v>G Data</v>
      </c>
      <c r="B55" s="4">
        <f>'Total Price List'!B59</f>
        <v>20311</v>
      </c>
      <c r="C55" s="3"/>
      <c r="D55" s="3" t="str">
        <f>'Total Price List'!D59</f>
        <v>License 1Y GD AV ENT -9</v>
      </c>
      <c r="E55" s="3" t="str">
        <f>'Total Price List'!E59</f>
        <v>License 4 &lt; x &lt; 10</v>
      </c>
      <c r="F55" s="4" t="str">
        <f>'Total Price List'!F59</f>
        <v>License</v>
      </c>
      <c r="G55" s="3" t="str">
        <f>'Total Price List'!G59</f>
        <v>G Data AntiVirus + MailSecurity + Backup</v>
      </c>
      <c r="H55" s="3" t="str">
        <f>'Total Price List'!H59</f>
        <v>network license 1 year</v>
      </c>
      <c r="I55" s="64">
        <f>'Total Price List'!I59</f>
        <v>45</v>
      </c>
      <c r="J55" s="65">
        <f>'Total Price List'!J59</f>
        <v>45</v>
      </c>
    </row>
    <row r="56" spans="1:10" ht="12" customHeight="1" x14ac:dyDescent="0.25">
      <c r="A56" s="83" t="str">
        <f>'Total Price List'!A60</f>
        <v>G Data</v>
      </c>
      <c r="B56" s="4">
        <f>'Total Price List'!B60</f>
        <v>20312</v>
      </c>
      <c r="C56" s="3"/>
      <c r="D56" s="3" t="str">
        <f>'Total Price List'!D60</f>
        <v>License 1Y GD AV ENT 10+</v>
      </c>
      <c r="E56" s="3" t="str">
        <f>'Total Price List'!E60</f>
        <v>License 9 &lt; x &lt; 25</v>
      </c>
      <c r="F56" s="4" t="str">
        <f>'Total Price List'!F60</f>
        <v>License</v>
      </c>
      <c r="G56" s="3" t="str">
        <f>'Total Price List'!G60</f>
        <v>G Data AntiVirus + MailSecurity + Backup</v>
      </c>
      <c r="H56" s="3" t="str">
        <f>'Total Price List'!H60</f>
        <v>network license 1 year</v>
      </c>
      <c r="I56" s="64">
        <f>'Total Price List'!I60</f>
        <v>37.799999999999997</v>
      </c>
      <c r="J56" s="65">
        <f>'Total Price List'!J60</f>
        <v>37.799999999999997</v>
      </c>
    </row>
    <row r="57" spans="1:10" ht="12" customHeight="1" x14ac:dyDescent="0.25">
      <c r="A57" s="83" t="str">
        <f>'Total Price List'!A61</f>
        <v>G Data</v>
      </c>
      <c r="B57" s="4">
        <f>'Total Price List'!B61</f>
        <v>20313</v>
      </c>
      <c r="C57" s="3"/>
      <c r="D57" s="3" t="str">
        <f>'Total Price List'!D61</f>
        <v>License 1Y GD AV ENT 25+</v>
      </c>
      <c r="E57" s="3" t="str">
        <f>'Total Price List'!E61</f>
        <v>License 24 &lt; x &lt; 50</v>
      </c>
      <c r="F57" s="4" t="str">
        <f>'Total Price List'!F61</f>
        <v>License</v>
      </c>
      <c r="G57" s="3" t="str">
        <f>'Total Price List'!G61</f>
        <v>G Data AntiVirus + MailSecurity + Backup</v>
      </c>
      <c r="H57" s="3" t="str">
        <f>'Total Price List'!H61</f>
        <v>network license 1 year</v>
      </c>
      <c r="I57" s="64">
        <f>'Total Price List'!I61</f>
        <v>30.15</v>
      </c>
      <c r="J57" s="65">
        <f>'Total Price List'!J61</f>
        <v>30.15</v>
      </c>
    </row>
    <row r="58" spans="1:10" ht="12" customHeight="1" x14ac:dyDescent="0.25">
      <c r="A58" s="83" t="str">
        <f>'Total Price List'!A62</f>
        <v>G Data</v>
      </c>
      <c r="B58" s="4">
        <f>'Total Price List'!B62</f>
        <v>20314</v>
      </c>
      <c r="C58" s="3"/>
      <c r="D58" s="3" t="str">
        <f>'Total Price List'!D62</f>
        <v>License 1Y GD AV ENT 50+</v>
      </c>
      <c r="E58" s="3" t="str">
        <f>'Total Price List'!E62</f>
        <v>License 49 &lt; x &lt; 100</v>
      </c>
      <c r="F58" s="4" t="str">
        <f>'Total Price List'!F62</f>
        <v>License</v>
      </c>
      <c r="G58" s="3" t="str">
        <f>'Total Price List'!G62</f>
        <v>G Data AntiVirus + MailSecurity + Backup</v>
      </c>
      <c r="H58" s="3" t="str">
        <f>'Total Price List'!H62</f>
        <v>network license 1 year</v>
      </c>
      <c r="I58" s="64">
        <f>'Total Price List'!I62</f>
        <v>23.4</v>
      </c>
      <c r="J58" s="65">
        <f>'Total Price List'!J62</f>
        <v>23.4</v>
      </c>
    </row>
    <row r="59" spans="1:10" ht="12" customHeight="1" x14ac:dyDescent="0.25">
      <c r="A59" s="83" t="str">
        <f>'Total Price List'!A63</f>
        <v>G Data</v>
      </c>
      <c r="B59" s="4">
        <f>'Total Price List'!B63</f>
        <v>20315</v>
      </c>
      <c r="C59" s="3"/>
      <c r="D59" s="3" t="str">
        <f>'Total Price List'!D63</f>
        <v>License 1Y GD AV ENT 100+</v>
      </c>
      <c r="E59" s="3" t="str">
        <f>'Total Price List'!E63</f>
        <v>License 99 &lt; x &lt; 250</v>
      </c>
      <c r="F59" s="4" t="str">
        <f>'Total Price List'!F63</f>
        <v>License</v>
      </c>
      <c r="G59" s="3" t="str">
        <f>'Total Price List'!G63</f>
        <v>G Data AntiVirus + MailSecurity + Backup</v>
      </c>
      <c r="H59" s="3" t="str">
        <f>'Total Price List'!H63</f>
        <v>network license 1 year</v>
      </c>
      <c r="I59" s="64">
        <f>'Total Price List'!I63</f>
        <v>20.7</v>
      </c>
      <c r="J59" s="65">
        <f>'Total Price List'!J63</f>
        <v>20.7</v>
      </c>
    </row>
    <row r="60" spans="1:10" ht="12" customHeight="1" x14ac:dyDescent="0.25">
      <c r="A60" s="83" t="str">
        <f>'Total Price List'!A64</f>
        <v>G Data</v>
      </c>
      <c r="B60" s="4">
        <f>'Total Price List'!B64</f>
        <v>20316</v>
      </c>
      <c r="C60" s="3"/>
      <c r="D60" s="3" t="str">
        <f>'Total Price List'!D64</f>
        <v>License 1Y GD AV ENT 250+</v>
      </c>
      <c r="E60" s="3" t="str">
        <f>'Total Price List'!E64</f>
        <v>License 249 &lt; x &lt; 500</v>
      </c>
      <c r="F60" s="4" t="str">
        <f>'Total Price List'!F64</f>
        <v>License</v>
      </c>
      <c r="G60" s="3" t="str">
        <f>'Total Price List'!G64</f>
        <v>G Data AntiVirus + MailSecurity + Backup</v>
      </c>
      <c r="H60" s="3" t="str">
        <f>'Total Price List'!H64</f>
        <v>network license 1 year</v>
      </c>
      <c r="I60" s="64">
        <f>'Total Price List'!I64</f>
        <v>18</v>
      </c>
      <c r="J60" s="65">
        <f>'Total Price List'!J64</f>
        <v>18</v>
      </c>
    </row>
    <row r="61" spans="1:10" ht="12" customHeight="1" x14ac:dyDescent="0.25">
      <c r="A61" s="83" t="str">
        <f>'Total Price List'!A65</f>
        <v>G Data</v>
      </c>
      <c r="B61" s="4">
        <f>'Total Price List'!B65</f>
        <v>20317</v>
      </c>
      <c r="C61" s="3"/>
      <c r="D61" s="3" t="str">
        <f>'Total Price List'!D65</f>
        <v>License 1Y GD AV ENT 500+</v>
      </c>
      <c r="E61" s="3" t="str">
        <f>'Total Price List'!E65</f>
        <v>License 499 &lt; x &lt; 1000</v>
      </c>
      <c r="F61" s="4" t="str">
        <f>'Total Price List'!F65</f>
        <v>License</v>
      </c>
      <c r="G61" s="3" t="str">
        <f>'Total Price List'!G65</f>
        <v>G Data AntiVirus + MailSecurity + Backup</v>
      </c>
      <c r="H61" s="3" t="str">
        <f>'Total Price List'!H65</f>
        <v>network license 1 year</v>
      </c>
      <c r="I61" s="64">
        <f>'Total Price List'!I65</f>
        <v>16.2</v>
      </c>
      <c r="J61" s="65">
        <f>'Total Price List'!J65</f>
        <v>16.2</v>
      </c>
    </row>
    <row r="62" spans="1:10" ht="12" customHeight="1" x14ac:dyDescent="0.25">
      <c r="A62" s="83" t="str">
        <f>'Total Price List'!A66</f>
        <v>G Data</v>
      </c>
      <c r="B62" s="4">
        <f>'Total Price List'!B66</f>
        <v>20318</v>
      </c>
      <c r="C62" s="3"/>
      <c r="D62" s="3" t="str">
        <f>'Total Price List'!D66</f>
        <v>License 1Y GD AV ENT 1000+</v>
      </c>
      <c r="E62" s="3" t="str">
        <f>'Total Price List'!E66</f>
        <v>License 999 &lt; x &lt; 2500</v>
      </c>
      <c r="F62" s="4" t="str">
        <f>'Total Price List'!F66</f>
        <v>License</v>
      </c>
      <c r="G62" s="3" t="str">
        <f>'Total Price List'!G66</f>
        <v>G Data AntiVirus + MailSecurity + Backup</v>
      </c>
      <c r="H62" s="3" t="str">
        <f>'Total Price List'!H66</f>
        <v>network license 1 year</v>
      </c>
      <c r="I62" s="64">
        <f>'Total Price List'!I66</f>
        <v>14.399999999999999</v>
      </c>
      <c r="J62" s="65">
        <f>'Total Price List'!J66</f>
        <v>14.399999999999999</v>
      </c>
    </row>
    <row r="63" spans="1:10" ht="12" customHeight="1" x14ac:dyDescent="0.25">
      <c r="A63" s="83" t="str">
        <f>'Total Price List'!A67</f>
        <v>G Data</v>
      </c>
      <c r="B63" s="4">
        <f>'Total Price List'!B67</f>
        <v>20321</v>
      </c>
      <c r="C63" s="3"/>
      <c r="D63" s="3" t="str">
        <f>'Total Price List'!D67</f>
        <v>License 2Y GD AV ENT -9</v>
      </c>
      <c r="E63" s="3" t="str">
        <f>'Total Price List'!E67</f>
        <v>License 4 &lt; x &lt; 10</v>
      </c>
      <c r="F63" s="4" t="str">
        <f>'Total Price List'!F67</f>
        <v>License</v>
      </c>
      <c r="G63" s="3" t="str">
        <f>'Total Price List'!G67</f>
        <v>G Data AntiVirus + MailSecurity + Backup</v>
      </c>
      <c r="H63" s="3" t="str">
        <f>'Total Price List'!H67</f>
        <v>network license 2 years</v>
      </c>
      <c r="I63" s="64">
        <f>'Total Price List'!I67</f>
        <v>63</v>
      </c>
      <c r="J63" s="65">
        <f>'Total Price List'!J67</f>
        <v>63</v>
      </c>
    </row>
    <row r="64" spans="1:10" ht="12" customHeight="1" x14ac:dyDescent="0.25">
      <c r="A64" s="83" t="str">
        <f>'Total Price List'!A68</f>
        <v>G Data</v>
      </c>
      <c r="B64" s="4">
        <f>'Total Price List'!B68</f>
        <v>20322</v>
      </c>
      <c r="C64" s="3"/>
      <c r="D64" s="3" t="str">
        <f>'Total Price List'!D68</f>
        <v>License 2Y GD AV ENT 10+</v>
      </c>
      <c r="E64" s="3" t="str">
        <f>'Total Price List'!E68</f>
        <v>License 9 &lt; x &lt; 25</v>
      </c>
      <c r="F64" s="4" t="str">
        <f>'Total Price List'!F68</f>
        <v>License</v>
      </c>
      <c r="G64" s="3" t="str">
        <f>'Total Price List'!G68</f>
        <v>G Data AntiVirus + MailSecurity + Backup</v>
      </c>
      <c r="H64" s="3" t="str">
        <f>'Total Price List'!H68</f>
        <v>network license 2 years</v>
      </c>
      <c r="I64" s="64">
        <f>'Total Price List'!I68</f>
        <v>55.8</v>
      </c>
      <c r="J64" s="65">
        <f>'Total Price List'!J68</f>
        <v>55.8</v>
      </c>
    </row>
    <row r="65" spans="1:10" ht="12" customHeight="1" x14ac:dyDescent="0.25">
      <c r="A65" s="83" t="str">
        <f>'Total Price List'!A69</f>
        <v>G Data</v>
      </c>
      <c r="B65" s="4">
        <f>'Total Price List'!B69</f>
        <v>20323</v>
      </c>
      <c r="C65" s="3"/>
      <c r="D65" s="3" t="str">
        <f>'Total Price List'!D69</f>
        <v>License 2Y GD AV ENT 25+</v>
      </c>
      <c r="E65" s="3" t="str">
        <f>'Total Price List'!E69</f>
        <v>License 24 &lt; x &lt; 50</v>
      </c>
      <c r="F65" s="4" t="str">
        <f>'Total Price List'!F69</f>
        <v>License</v>
      </c>
      <c r="G65" s="3" t="str">
        <f>'Total Price List'!G69</f>
        <v>G Data AntiVirus + MailSecurity + Backup</v>
      </c>
      <c r="H65" s="3" t="str">
        <f>'Total Price List'!H69</f>
        <v>network license 2 years</v>
      </c>
      <c r="I65" s="64">
        <f>'Total Price List'!I69</f>
        <v>43.199999999999996</v>
      </c>
      <c r="J65" s="65">
        <f>'Total Price List'!J69</f>
        <v>43.199999999999996</v>
      </c>
    </row>
    <row r="66" spans="1:10" ht="12" customHeight="1" x14ac:dyDescent="0.25">
      <c r="A66" s="83" t="str">
        <f>'Total Price List'!A70</f>
        <v>G Data</v>
      </c>
      <c r="B66" s="4">
        <f>'Total Price List'!B70</f>
        <v>20324</v>
      </c>
      <c r="C66" s="3"/>
      <c r="D66" s="3" t="str">
        <f>'Total Price List'!D70</f>
        <v>License 2Y GD AV ENT 50+</v>
      </c>
      <c r="E66" s="3" t="str">
        <f>'Total Price List'!E70</f>
        <v>License 49 &lt; x &lt; 100</v>
      </c>
      <c r="F66" s="4" t="str">
        <f>'Total Price List'!F70</f>
        <v>License</v>
      </c>
      <c r="G66" s="3" t="str">
        <f>'Total Price List'!G70</f>
        <v>G Data AntiVirus + MailSecurity + Backup</v>
      </c>
      <c r="H66" s="3" t="str">
        <f>'Total Price List'!H70</f>
        <v>network license 2 years</v>
      </c>
      <c r="I66" s="64">
        <f>'Total Price List'!I70</f>
        <v>36</v>
      </c>
      <c r="J66" s="65">
        <f>'Total Price List'!J70</f>
        <v>36</v>
      </c>
    </row>
    <row r="67" spans="1:10" ht="12" customHeight="1" x14ac:dyDescent="0.25">
      <c r="A67" s="83" t="str">
        <f>'Total Price List'!A71</f>
        <v>G Data</v>
      </c>
      <c r="B67" s="4">
        <f>'Total Price List'!B71</f>
        <v>20325</v>
      </c>
      <c r="C67" s="3"/>
      <c r="D67" s="3" t="str">
        <f>'Total Price List'!D71</f>
        <v>License 2Y GD AV ENT 100+</v>
      </c>
      <c r="E67" s="3" t="str">
        <f>'Total Price List'!E71</f>
        <v>License 99 &lt; x &lt; 250</v>
      </c>
      <c r="F67" s="4" t="str">
        <f>'Total Price List'!F71</f>
        <v>License</v>
      </c>
      <c r="G67" s="3" t="str">
        <f>'Total Price List'!G71</f>
        <v>G Data AntiVirus + MailSecurity + Backup</v>
      </c>
      <c r="H67" s="3" t="str">
        <f>'Total Price List'!H71</f>
        <v>network license 2 years</v>
      </c>
      <c r="I67" s="64">
        <f>'Total Price List'!I71</f>
        <v>31.5</v>
      </c>
      <c r="J67" s="65">
        <f>'Total Price List'!J71</f>
        <v>31.5</v>
      </c>
    </row>
    <row r="68" spans="1:10" ht="12" customHeight="1" x14ac:dyDescent="0.25">
      <c r="A68" s="83" t="str">
        <f>'Total Price List'!A72</f>
        <v>G Data</v>
      </c>
      <c r="B68" s="4">
        <f>'Total Price List'!B72</f>
        <v>20326</v>
      </c>
      <c r="C68" s="3"/>
      <c r="D68" s="3" t="str">
        <f>'Total Price List'!D72</f>
        <v>License 2Y GD AV ENT 250+</v>
      </c>
      <c r="E68" s="3" t="str">
        <f>'Total Price List'!E72</f>
        <v>License 249 &lt; x &lt; 500</v>
      </c>
      <c r="F68" s="4" t="str">
        <f>'Total Price List'!F72</f>
        <v>License</v>
      </c>
      <c r="G68" s="3" t="str">
        <f>'Total Price List'!G72</f>
        <v>G Data AntiVirus + MailSecurity + Backup</v>
      </c>
      <c r="H68" s="3" t="str">
        <f>'Total Price List'!H72</f>
        <v>network license 2 years</v>
      </c>
      <c r="I68" s="64">
        <f>'Total Price List'!I72</f>
        <v>27</v>
      </c>
      <c r="J68" s="65">
        <f>'Total Price List'!J72</f>
        <v>27</v>
      </c>
    </row>
    <row r="69" spans="1:10" ht="12" customHeight="1" x14ac:dyDescent="0.25">
      <c r="A69" s="83" t="str">
        <f>'Total Price List'!A73</f>
        <v>G Data</v>
      </c>
      <c r="B69" s="4">
        <f>'Total Price List'!B73</f>
        <v>20327</v>
      </c>
      <c r="C69" s="3"/>
      <c r="D69" s="3" t="str">
        <f>'Total Price List'!D73</f>
        <v>License 2Y GD AV ENT 500+</v>
      </c>
      <c r="E69" s="3" t="str">
        <f>'Total Price List'!E73</f>
        <v>License 499 &lt; x &lt; 1000</v>
      </c>
      <c r="F69" s="4" t="str">
        <f>'Total Price List'!F73</f>
        <v>License</v>
      </c>
      <c r="G69" s="3" t="str">
        <f>'Total Price List'!G73</f>
        <v>G Data AntiVirus + MailSecurity + Backup</v>
      </c>
      <c r="H69" s="3" t="str">
        <f>'Total Price List'!H73</f>
        <v>network license 2 years</v>
      </c>
      <c r="I69" s="64">
        <f>'Total Price List'!I73</f>
        <v>24.299999999999997</v>
      </c>
      <c r="J69" s="65">
        <f>'Total Price List'!J73</f>
        <v>24.299999999999997</v>
      </c>
    </row>
    <row r="70" spans="1:10" ht="12" customHeight="1" x14ac:dyDescent="0.25">
      <c r="A70" s="83" t="str">
        <f>'Total Price List'!A74</f>
        <v>G Data</v>
      </c>
      <c r="B70" s="4">
        <f>'Total Price List'!B74</f>
        <v>20328</v>
      </c>
      <c r="C70" s="3"/>
      <c r="D70" s="3" t="str">
        <f>'Total Price List'!D74</f>
        <v>License 2Y GD AV ENT 1000+</v>
      </c>
      <c r="E70" s="3" t="str">
        <f>'Total Price List'!E74</f>
        <v>License 999 &lt; x &lt; 2500</v>
      </c>
      <c r="F70" s="4" t="str">
        <f>'Total Price List'!F74</f>
        <v>License</v>
      </c>
      <c r="G70" s="3" t="str">
        <f>'Total Price List'!G74</f>
        <v>G Data AntiVirus + MailSecurity + Backup</v>
      </c>
      <c r="H70" s="3" t="str">
        <f>'Total Price List'!H74</f>
        <v>network license 2 years</v>
      </c>
      <c r="I70" s="64">
        <f>'Total Price List'!I74</f>
        <v>22.5</v>
      </c>
      <c r="J70" s="65">
        <f>'Total Price List'!J74</f>
        <v>22.5</v>
      </c>
    </row>
    <row r="71" spans="1:10" ht="12" customHeight="1" x14ac:dyDescent="0.25">
      <c r="A71" s="83" t="str">
        <f>'Total Price List'!A75</f>
        <v>G Data</v>
      </c>
      <c r="B71" s="4">
        <f>'Total Price List'!B75</f>
        <v>20331</v>
      </c>
      <c r="C71" s="3"/>
      <c r="D71" s="3" t="str">
        <f>'Total Price List'!D75</f>
        <v>License 3Y GD AV ENT -9</v>
      </c>
      <c r="E71" s="3" t="str">
        <f>'Total Price List'!E75</f>
        <v>License 4 &lt; x &lt; 10</v>
      </c>
      <c r="F71" s="4" t="str">
        <f>'Total Price List'!F75</f>
        <v>License</v>
      </c>
      <c r="G71" s="3" t="str">
        <f>'Total Price List'!G75</f>
        <v>G Data AntiVirus + MailSecurity + Backup</v>
      </c>
      <c r="H71" s="3" t="str">
        <f>'Total Price List'!H75</f>
        <v>network license 3 years</v>
      </c>
      <c r="I71" s="64">
        <f>'Total Price List'!I75</f>
        <v>80.099999999999994</v>
      </c>
      <c r="J71" s="65">
        <f>'Total Price List'!J75</f>
        <v>80.099999999999994</v>
      </c>
    </row>
    <row r="72" spans="1:10" ht="12" customHeight="1" x14ac:dyDescent="0.25">
      <c r="A72" s="83" t="str">
        <f>'Total Price List'!A76</f>
        <v>G Data</v>
      </c>
      <c r="B72" s="4">
        <f>'Total Price List'!B76</f>
        <v>20332</v>
      </c>
      <c r="C72" s="3"/>
      <c r="D72" s="3" t="str">
        <f>'Total Price List'!D76</f>
        <v>License 3Y GD AV ENT 10+</v>
      </c>
      <c r="E72" s="3" t="str">
        <f>'Total Price List'!E76</f>
        <v>License 9 &lt; x &lt; 25</v>
      </c>
      <c r="F72" s="4" t="str">
        <f>'Total Price List'!F76</f>
        <v>License</v>
      </c>
      <c r="G72" s="3" t="str">
        <f>'Total Price List'!G76</f>
        <v>G Data AntiVirus + MailSecurity + Backup</v>
      </c>
      <c r="H72" s="3" t="str">
        <f>'Total Price List'!H76</f>
        <v>network license 3 years</v>
      </c>
      <c r="I72" s="64">
        <f>'Total Price List'!I76</f>
        <v>71.099999999999994</v>
      </c>
      <c r="J72" s="65">
        <f>'Total Price List'!J76</f>
        <v>71.099999999999994</v>
      </c>
    </row>
    <row r="73" spans="1:10" ht="12" customHeight="1" x14ac:dyDescent="0.25">
      <c r="A73" s="83" t="str">
        <f>'Total Price List'!A77</f>
        <v>G Data</v>
      </c>
      <c r="B73" s="4">
        <f>'Total Price List'!B77</f>
        <v>20333</v>
      </c>
      <c r="C73" s="3"/>
      <c r="D73" s="3" t="str">
        <f>'Total Price List'!D77</f>
        <v>License 3Y GD AV ENT 25+</v>
      </c>
      <c r="E73" s="3" t="str">
        <f>'Total Price List'!E77</f>
        <v>License 24 &lt; x &lt; 50</v>
      </c>
      <c r="F73" s="4" t="str">
        <f>'Total Price List'!F77</f>
        <v>License</v>
      </c>
      <c r="G73" s="3" t="str">
        <f>'Total Price List'!G77</f>
        <v>G Data AntiVirus + MailSecurity + Backup</v>
      </c>
      <c r="H73" s="3" t="str">
        <f>'Total Price List'!H77</f>
        <v>network license 3 years</v>
      </c>
      <c r="I73" s="64">
        <f>'Total Price List'!I77</f>
        <v>61.199999999999996</v>
      </c>
      <c r="J73" s="65">
        <f>'Total Price List'!J77</f>
        <v>61.199999999999996</v>
      </c>
    </row>
    <row r="74" spans="1:10" ht="12" customHeight="1" x14ac:dyDescent="0.25">
      <c r="A74" s="83" t="str">
        <f>'Total Price List'!A78</f>
        <v>G Data</v>
      </c>
      <c r="B74" s="4">
        <f>'Total Price List'!B78</f>
        <v>20334</v>
      </c>
      <c r="C74" s="3"/>
      <c r="D74" s="3" t="str">
        <f>'Total Price List'!D78</f>
        <v>License 3Y GD AV ENT 50+</v>
      </c>
      <c r="E74" s="3" t="str">
        <f>'Total Price List'!E78</f>
        <v>License 49 &lt; x &lt; 100</v>
      </c>
      <c r="F74" s="4" t="str">
        <f>'Total Price List'!F78</f>
        <v>License</v>
      </c>
      <c r="G74" s="3" t="str">
        <f>'Total Price List'!G78</f>
        <v>G Data AntiVirus + MailSecurity + Backup</v>
      </c>
      <c r="H74" s="3" t="str">
        <f>'Total Price List'!H78</f>
        <v>network license 3 years</v>
      </c>
      <c r="I74" s="64">
        <f>'Total Price List'!I78</f>
        <v>52.199999999999996</v>
      </c>
      <c r="J74" s="65">
        <f>'Total Price List'!J78</f>
        <v>52.199999999999996</v>
      </c>
    </row>
    <row r="75" spans="1:10" ht="12" customHeight="1" x14ac:dyDescent="0.25">
      <c r="A75" s="83" t="str">
        <f>'Total Price List'!A79</f>
        <v>G Data</v>
      </c>
      <c r="B75" s="4">
        <f>'Total Price List'!B79</f>
        <v>20335</v>
      </c>
      <c r="C75" s="3"/>
      <c r="D75" s="3" t="str">
        <f>'Total Price List'!D79</f>
        <v>License 3Y GD AV ENT 100+</v>
      </c>
      <c r="E75" s="3" t="str">
        <f>'Total Price List'!E79</f>
        <v>License 99 &lt; x &lt; 250</v>
      </c>
      <c r="F75" s="4" t="str">
        <f>'Total Price List'!F79</f>
        <v>License</v>
      </c>
      <c r="G75" s="3" t="str">
        <f>'Total Price List'!G79</f>
        <v>G Data AntiVirus + MailSecurity + Backup</v>
      </c>
      <c r="H75" s="3" t="str">
        <f>'Total Price List'!H79</f>
        <v>network license 3 years</v>
      </c>
      <c r="I75" s="64">
        <f>'Total Price List'!I79</f>
        <v>44.099999999999994</v>
      </c>
      <c r="J75" s="65">
        <f>'Total Price List'!J79</f>
        <v>44.099999999999994</v>
      </c>
    </row>
    <row r="76" spans="1:10" ht="12" customHeight="1" x14ac:dyDescent="0.25">
      <c r="A76" s="83" t="str">
        <f>'Total Price List'!A80</f>
        <v>G Data</v>
      </c>
      <c r="B76" s="4">
        <f>'Total Price List'!B80</f>
        <v>20336</v>
      </c>
      <c r="C76" s="3"/>
      <c r="D76" s="3" t="str">
        <f>'Total Price List'!D80</f>
        <v>License 3Y GD AV ENT 250+</v>
      </c>
      <c r="E76" s="3" t="str">
        <f>'Total Price List'!E80</f>
        <v>License 249 &lt; x &lt; 500</v>
      </c>
      <c r="F76" s="4" t="str">
        <f>'Total Price List'!F80</f>
        <v>License</v>
      </c>
      <c r="G76" s="3" t="str">
        <f>'Total Price List'!G80</f>
        <v>G Data AntiVirus + MailSecurity + Backup</v>
      </c>
      <c r="H76" s="3" t="str">
        <f>'Total Price List'!H80</f>
        <v>network license 3 years</v>
      </c>
      <c r="I76" s="64">
        <f>'Total Price List'!I80</f>
        <v>36.9</v>
      </c>
      <c r="J76" s="65">
        <f>'Total Price List'!J80</f>
        <v>36.9</v>
      </c>
    </row>
    <row r="77" spans="1:10" ht="12" customHeight="1" x14ac:dyDescent="0.25">
      <c r="A77" s="83" t="str">
        <f>'Total Price List'!A81</f>
        <v>G Data</v>
      </c>
      <c r="B77" s="4">
        <f>'Total Price List'!B81</f>
        <v>20337</v>
      </c>
      <c r="C77" s="3"/>
      <c r="D77" s="3" t="str">
        <f>'Total Price List'!D81</f>
        <v>License 3Y GD AV ENT 500+</v>
      </c>
      <c r="E77" s="3" t="str">
        <f>'Total Price List'!E81</f>
        <v>License 499 &lt; x &lt; 1000</v>
      </c>
      <c r="F77" s="4" t="str">
        <f>'Total Price List'!F81</f>
        <v>License</v>
      </c>
      <c r="G77" s="3" t="str">
        <f>'Total Price List'!G81</f>
        <v>G Data AntiVirus + MailSecurity + Backup</v>
      </c>
      <c r="H77" s="3" t="str">
        <f>'Total Price List'!H81</f>
        <v>network license 3 years</v>
      </c>
      <c r="I77" s="64">
        <f>'Total Price List'!I81</f>
        <v>33.299999999999997</v>
      </c>
      <c r="J77" s="65">
        <f>'Total Price List'!J81</f>
        <v>33.299999999999997</v>
      </c>
    </row>
    <row r="78" spans="1:10" ht="12" customHeight="1" thickBot="1" x14ac:dyDescent="0.3">
      <c r="A78" s="84" t="str">
        <f>'Total Price List'!A82</f>
        <v>G Data</v>
      </c>
      <c r="B78" s="24">
        <f>'Total Price List'!B82</f>
        <v>20338</v>
      </c>
      <c r="C78" s="25"/>
      <c r="D78" s="25" t="str">
        <f>'Total Price List'!D82</f>
        <v>License 3Y GD AV ENT 1000+</v>
      </c>
      <c r="E78" s="25" t="str">
        <f>'Total Price List'!E82</f>
        <v>License 999 &lt; x &lt; 2500</v>
      </c>
      <c r="F78" s="24" t="str">
        <f>'Total Price List'!F82</f>
        <v>License</v>
      </c>
      <c r="G78" s="25" t="str">
        <f>'Total Price List'!G82</f>
        <v>G Data AntiVirus + MailSecurity + Backup</v>
      </c>
      <c r="H78" s="25" t="str">
        <f>'Total Price List'!H82</f>
        <v>network license 3 years</v>
      </c>
      <c r="I78" s="66">
        <f>'Total Price List'!I82</f>
        <v>29.700000000000003</v>
      </c>
      <c r="J78" s="67">
        <f>'Total Price List'!J82</f>
        <v>29.700000000000003</v>
      </c>
    </row>
    <row r="79" spans="1:10" ht="12" customHeight="1" x14ac:dyDescent="0.25">
      <c r="A79" s="99" t="str">
        <f>'Total Price List'!A83</f>
        <v>G Data AntiVirus + MailSecurity + Backup network license renewal</v>
      </c>
      <c r="B79" s="99"/>
      <c r="C79" s="99"/>
      <c r="D79" s="99"/>
      <c r="E79" s="99"/>
      <c r="F79" s="99"/>
      <c r="G79" s="99"/>
      <c r="H79" s="99"/>
      <c r="I79" s="99"/>
      <c r="J79" s="100"/>
    </row>
    <row r="80" spans="1:10" ht="12" customHeight="1" x14ac:dyDescent="0.25">
      <c r="A80" s="85" t="str">
        <f>'Total Price List'!A84</f>
        <v>G Data</v>
      </c>
      <c r="B80" s="7">
        <f>'Total Price List'!B84</f>
        <v>20361</v>
      </c>
      <c r="C80" s="6"/>
      <c r="D80" s="6" t="str">
        <f>'Total Price List'!D84</f>
        <v>Renewal 1Y GD AV ENT -9</v>
      </c>
      <c r="E80" s="6" t="str">
        <f>'Total Price List'!E84</f>
        <v>Renewal 4 &lt; x &lt; 10</v>
      </c>
      <c r="F80" s="7" t="str">
        <f>'Total Price List'!F84</f>
        <v>Renewal</v>
      </c>
      <c r="G80" s="6" t="str">
        <f>'Total Price List'!G84</f>
        <v>G Data AntiVirus + MailSecurity + Backup</v>
      </c>
      <c r="H80" s="6" t="str">
        <f>'Total Price List'!H84</f>
        <v>network license renewal 1 year</v>
      </c>
      <c r="I80" s="77">
        <f>'Total Price List'!I84</f>
        <v>24</v>
      </c>
      <c r="J80" s="72">
        <f>'Total Price List'!J84</f>
        <v>24</v>
      </c>
    </row>
    <row r="81" spans="1:10" ht="12" customHeight="1" x14ac:dyDescent="0.25">
      <c r="A81" s="85" t="str">
        <f>'Total Price List'!A85</f>
        <v>G Data</v>
      </c>
      <c r="B81" s="7">
        <f>'Total Price List'!B85</f>
        <v>20362</v>
      </c>
      <c r="C81" s="6"/>
      <c r="D81" s="6" t="str">
        <f>'Total Price List'!D85</f>
        <v>Renewal 1Y GD AV ENT 10+</v>
      </c>
      <c r="E81" s="6" t="str">
        <f>'Total Price List'!E85</f>
        <v>Renewal 9 &lt; x &lt; 25</v>
      </c>
      <c r="F81" s="7" t="str">
        <f>'Total Price List'!F85</f>
        <v>Renewal</v>
      </c>
      <c r="G81" s="6" t="str">
        <f>'Total Price List'!G85</f>
        <v>G Data AntiVirus + MailSecurity + Backup</v>
      </c>
      <c r="H81" s="6" t="str">
        <f>'Total Price List'!H85</f>
        <v>network license renewal 1 year</v>
      </c>
      <c r="I81" s="77">
        <f>'Total Price List'!I85</f>
        <v>23.52</v>
      </c>
      <c r="J81" s="72">
        <f>'Total Price List'!J85</f>
        <v>23.52</v>
      </c>
    </row>
    <row r="82" spans="1:10" ht="12" customHeight="1" x14ac:dyDescent="0.25">
      <c r="A82" s="85" t="str">
        <f>'Total Price List'!A86</f>
        <v>G Data</v>
      </c>
      <c r="B82" s="7">
        <f>'Total Price List'!B86</f>
        <v>20363</v>
      </c>
      <c r="C82" s="6"/>
      <c r="D82" s="6" t="str">
        <f>'Total Price List'!D86</f>
        <v>Renewal 1Y GD AV ENT 25+</v>
      </c>
      <c r="E82" s="6" t="str">
        <f>'Total Price List'!E86</f>
        <v>Renewal 24 &lt; x &lt; 50</v>
      </c>
      <c r="F82" s="7" t="str">
        <f>'Total Price List'!F86</f>
        <v>Renewal</v>
      </c>
      <c r="G82" s="6" t="str">
        <f>'Total Price List'!G86</f>
        <v>G Data AntiVirus + MailSecurity + Backup</v>
      </c>
      <c r="H82" s="6" t="str">
        <f>'Total Price List'!H86</f>
        <v>network license renewal 1 year</v>
      </c>
      <c r="I82" s="77">
        <f>'Total Price List'!I86</f>
        <v>19.776000000000003</v>
      </c>
      <c r="J82" s="72">
        <f>'Total Price List'!J86</f>
        <v>19.776000000000003</v>
      </c>
    </row>
    <row r="83" spans="1:10" ht="12" customHeight="1" x14ac:dyDescent="0.25">
      <c r="A83" s="85" t="str">
        <f>'Total Price List'!A87</f>
        <v>G Data</v>
      </c>
      <c r="B83" s="7">
        <f>'Total Price List'!B87</f>
        <v>20364</v>
      </c>
      <c r="C83" s="6"/>
      <c r="D83" s="6" t="str">
        <f>'Total Price List'!D87</f>
        <v>Renewal 1Y GD AV ENT 50+</v>
      </c>
      <c r="E83" s="6" t="str">
        <f>'Total Price List'!E87</f>
        <v>Renewal 49 &lt; x &lt; 100</v>
      </c>
      <c r="F83" s="7" t="str">
        <f>'Total Price List'!F87</f>
        <v>Renewal</v>
      </c>
      <c r="G83" s="6" t="str">
        <f>'Total Price List'!G87</f>
        <v>G Data AntiVirus + MailSecurity + Backup</v>
      </c>
      <c r="H83" s="6" t="str">
        <f>'Total Price List'!H87</f>
        <v>network license renewal 1 year</v>
      </c>
      <c r="I83" s="77">
        <f>'Total Price List'!I87</f>
        <v>18.528000000000002</v>
      </c>
      <c r="J83" s="72">
        <f>'Total Price List'!J87</f>
        <v>18.528000000000002</v>
      </c>
    </row>
    <row r="84" spans="1:10" ht="12" customHeight="1" x14ac:dyDescent="0.25">
      <c r="A84" s="85" t="str">
        <f>'Total Price List'!A88</f>
        <v>G Data</v>
      </c>
      <c r="B84" s="7">
        <f>'Total Price List'!B88</f>
        <v>20365</v>
      </c>
      <c r="C84" s="6"/>
      <c r="D84" s="6" t="str">
        <f>'Total Price List'!D88</f>
        <v>Renewal 1Y GD AV ENT 100+</v>
      </c>
      <c r="E84" s="6" t="str">
        <f>'Total Price List'!E88</f>
        <v>Renewal 99 &lt; x &lt; 250</v>
      </c>
      <c r="F84" s="7" t="str">
        <f>'Total Price List'!F88</f>
        <v>Renewal</v>
      </c>
      <c r="G84" s="6" t="str">
        <f>'Total Price List'!G88</f>
        <v>G Data AntiVirus + MailSecurity + Backup</v>
      </c>
      <c r="H84" s="6" t="str">
        <f>'Total Price List'!H88</f>
        <v>network license renewal 1 year</v>
      </c>
      <c r="I84" s="77">
        <f>'Total Price List'!I88</f>
        <v>15.024000000000001</v>
      </c>
      <c r="J84" s="72">
        <f>'Total Price List'!J88</f>
        <v>15.024000000000001</v>
      </c>
    </row>
    <row r="85" spans="1:10" ht="12" customHeight="1" x14ac:dyDescent="0.25">
      <c r="A85" s="85" t="str">
        <f>'Total Price List'!A89</f>
        <v>G Data</v>
      </c>
      <c r="B85" s="7">
        <f>'Total Price List'!B89</f>
        <v>20366</v>
      </c>
      <c r="C85" s="6"/>
      <c r="D85" s="6" t="str">
        <f>'Total Price List'!D89</f>
        <v>Renewal 1Y GD AV ENT 250+</v>
      </c>
      <c r="E85" s="6" t="str">
        <f>'Total Price List'!E89</f>
        <v>Renewal 249 &lt; x &lt; 500</v>
      </c>
      <c r="F85" s="7" t="str">
        <f>'Total Price List'!F89</f>
        <v>Renewal</v>
      </c>
      <c r="G85" s="6" t="str">
        <f>'Total Price List'!G89</f>
        <v>G Data AntiVirus + MailSecurity + Backup</v>
      </c>
      <c r="H85" s="6" t="str">
        <f>'Total Price List'!H89</f>
        <v>network license renewal 1 year</v>
      </c>
      <c r="I85" s="77">
        <f>'Total Price List'!I89</f>
        <v>11.769600000000001</v>
      </c>
      <c r="J85" s="72">
        <f>'Total Price List'!J89</f>
        <v>11.769600000000001</v>
      </c>
    </row>
    <row r="86" spans="1:10" ht="12" customHeight="1" x14ac:dyDescent="0.25">
      <c r="A86" s="85" t="str">
        <f>'Total Price List'!A90</f>
        <v>G Data</v>
      </c>
      <c r="B86" s="7">
        <f>'Total Price List'!B90</f>
        <v>20367</v>
      </c>
      <c r="C86" s="6"/>
      <c r="D86" s="6" t="str">
        <f>'Total Price List'!D90</f>
        <v>Renewal 1Y GD AV ENT 500+</v>
      </c>
      <c r="E86" s="6" t="str">
        <f>'Total Price List'!E90</f>
        <v>Renewal 499 &lt; x &lt; 1000</v>
      </c>
      <c r="F86" s="7" t="str">
        <f>'Total Price List'!F90</f>
        <v>Renewal</v>
      </c>
      <c r="G86" s="6" t="str">
        <f>'Total Price List'!G90</f>
        <v>G Data AntiVirus + MailSecurity + Backup</v>
      </c>
      <c r="H86" s="6" t="str">
        <f>'Total Price List'!H90</f>
        <v>network license renewal 1 year</v>
      </c>
      <c r="I86" s="77">
        <f>'Total Price List'!I90</f>
        <v>10.204800000000001</v>
      </c>
      <c r="J86" s="72">
        <f>'Total Price List'!J90</f>
        <v>10.204800000000001</v>
      </c>
    </row>
    <row r="87" spans="1:10" ht="12" customHeight="1" x14ac:dyDescent="0.25">
      <c r="A87" s="85" t="str">
        <f>'Total Price List'!A91</f>
        <v>G Data</v>
      </c>
      <c r="B87" s="7">
        <f>'Total Price List'!B91</f>
        <v>20368</v>
      </c>
      <c r="C87" s="6"/>
      <c r="D87" s="6" t="str">
        <f>'Total Price List'!D91</f>
        <v>Renewal 1Y GD AV ENT 1000+</v>
      </c>
      <c r="E87" s="6" t="str">
        <f>'Total Price List'!E91</f>
        <v>Renewal 999 &lt; x &lt; 2500</v>
      </c>
      <c r="F87" s="7" t="str">
        <f>'Total Price List'!F91</f>
        <v>Renewal</v>
      </c>
      <c r="G87" s="6" t="str">
        <f>'Total Price List'!G91</f>
        <v>G Data AntiVirus + MailSecurity + Backup</v>
      </c>
      <c r="H87" s="6" t="str">
        <f>'Total Price List'!H91</f>
        <v>network license renewal 1 year</v>
      </c>
      <c r="I87" s="77">
        <f>'Total Price List'!I91</f>
        <v>8.7360000000000007</v>
      </c>
      <c r="J87" s="72">
        <f>'Total Price List'!J91</f>
        <v>8.7360000000000007</v>
      </c>
    </row>
    <row r="88" spans="1:10" ht="12" customHeight="1" x14ac:dyDescent="0.25">
      <c r="A88" s="85" t="str">
        <f>'Total Price List'!A92</f>
        <v>G Data</v>
      </c>
      <c r="B88" s="7">
        <f>'Total Price List'!B92</f>
        <v>20371</v>
      </c>
      <c r="C88" s="6"/>
      <c r="D88" s="6" t="str">
        <f>'Total Price List'!D92</f>
        <v>Renewal  2Y GD AV ENT -9</v>
      </c>
      <c r="E88" s="6" t="str">
        <f>'Total Price List'!E92</f>
        <v>Renewal 4 &lt; x &lt; 10</v>
      </c>
      <c r="F88" s="7" t="str">
        <f>'Total Price List'!F92</f>
        <v>Renewal</v>
      </c>
      <c r="G88" s="6" t="str">
        <f>'Total Price List'!G92</f>
        <v>G Data AntiVirus + MailSecurity + Backup</v>
      </c>
      <c r="H88" s="6" t="str">
        <f>'Total Price List'!H92</f>
        <v>network license renewal 2 years</v>
      </c>
      <c r="I88" s="77">
        <f>'Total Price List'!I92</f>
        <v>42</v>
      </c>
      <c r="J88" s="72">
        <f>'Total Price List'!J92</f>
        <v>42</v>
      </c>
    </row>
    <row r="89" spans="1:10" ht="12" customHeight="1" x14ac:dyDescent="0.25">
      <c r="A89" s="85" t="str">
        <f>'Total Price List'!A93</f>
        <v>G Data</v>
      </c>
      <c r="B89" s="7">
        <f>'Total Price List'!B93</f>
        <v>20372</v>
      </c>
      <c r="C89" s="6"/>
      <c r="D89" s="6" t="str">
        <f>'Total Price List'!D93</f>
        <v>Renewal  2Y GD AV ENT 10+</v>
      </c>
      <c r="E89" s="6" t="str">
        <f>'Total Price List'!E93</f>
        <v>Renewal 9 &lt; x &lt; 25</v>
      </c>
      <c r="F89" s="7" t="str">
        <f>'Total Price List'!F93</f>
        <v>Renewal</v>
      </c>
      <c r="G89" s="6" t="str">
        <f>'Total Price List'!G93</f>
        <v>G Data AntiVirus + MailSecurity + Backup</v>
      </c>
      <c r="H89" s="6" t="str">
        <f>'Total Price List'!H93</f>
        <v>network license renewal 2 years</v>
      </c>
      <c r="I89" s="77">
        <f>'Total Price List'!I93</f>
        <v>41.16</v>
      </c>
      <c r="J89" s="72">
        <f>'Total Price List'!J93</f>
        <v>41.16</v>
      </c>
    </row>
    <row r="90" spans="1:10" ht="12" customHeight="1" x14ac:dyDescent="0.25">
      <c r="A90" s="85" t="str">
        <f>'Total Price List'!A94</f>
        <v>G Data</v>
      </c>
      <c r="B90" s="7">
        <f>'Total Price List'!B94</f>
        <v>20373</v>
      </c>
      <c r="C90" s="6"/>
      <c r="D90" s="6" t="str">
        <f>'Total Price List'!D94</f>
        <v>Renewal  2Y GD AV ENT 25+</v>
      </c>
      <c r="E90" s="6" t="str">
        <f>'Total Price List'!E94</f>
        <v>Renewal 24 &lt; x &lt; 50</v>
      </c>
      <c r="F90" s="7" t="str">
        <f>'Total Price List'!F94</f>
        <v>Renewal</v>
      </c>
      <c r="G90" s="6" t="str">
        <f>'Total Price List'!G94</f>
        <v>G Data AntiVirus + MailSecurity + Backup</v>
      </c>
      <c r="H90" s="6" t="str">
        <f>'Total Price List'!H94</f>
        <v>network license renewal 2 years</v>
      </c>
      <c r="I90" s="77">
        <f>'Total Price List'!I94</f>
        <v>34.608000000000004</v>
      </c>
      <c r="J90" s="72">
        <f>'Total Price List'!J94</f>
        <v>34.608000000000004</v>
      </c>
    </row>
    <row r="91" spans="1:10" ht="12" customHeight="1" x14ac:dyDescent="0.25">
      <c r="A91" s="85" t="str">
        <f>'Total Price List'!A95</f>
        <v>G Data</v>
      </c>
      <c r="B91" s="7">
        <f>'Total Price List'!B95</f>
        <v>20374</v>
      </c>
      <c r="C91" s="6"/>
      <c r="D91" s="6" t="str">
        <f>'Total Price List'!D95</f>
        <v>Renewal  2Y GD AV ENT 50+</v>
      </c>
      <c r="E91" s="6" t="str">
        <f>'Total Price List'!E95</f>
        <v>Renewal 49 &lt; x &lt; 100</v>
      </c>
      <c r="F91" s="7" t="str">
        <f>'Total Price List'!F95</f>
        <v>Renewal</v>
      </c>
      <c r="G91" s="6" t="str">
        <f>'Total Price List'!G95</f>
        <v>G Data AntiVirus + MailSecurity + Backup</v>
      </c>
      <c r="H91" s="6" t="str">
        <f>'Total Price List'!H95</f>
        <v>network license renewal 2 years</v>
      </c>
      <c r="I91" s="77">
        <f>'Total Price List'!I95</f>
        <v>32.423999999999999</v>
      </c>
      <c r="J91" s="72">
        <f>'Total Price List'!J95</f>
        <v>32.423999999999999</v>
      </c>
    </row>
    <row r="92" spans="1:10" ht="12" customHeight="1" x14ac:dyDescent="0.25">
      <c r="A92" s="85" t="str">
        <f>'Total Price List'!A96</f>
        <v>G Data</v>
      </c>
      <c r="B92" s="7">
        <f>'Total Price List'!B96</f>
        <v>20375</v>
      </c>
      <c r="C92" s="6"/>
      <c r="D92" s="6" t="str">
        <f>'Total Price List'!D96</f>
        <v>Renewal  2Y GD AV ENT 100+</v>
      </c>
      <c r="E92" s="6" t="str">
        <f>'Total Price List'!E96</f>
        <v>Renewal 99 &lt; x &lt; 250</v>
      </c>
      <c r="F92" s="7" t="str">
        <f>'Total Price List'!F96</f>
        <v>Renewal</v>
      </c>
      <c r="G92" s="6" t="str">
        <f>'Total Price List'!G96</f>
        <v>G Data AntiVirus + MailSecurity + Backup</v>
      </c>
      <c r="H92" s="6" t="str">
        <f>'Total Price List'!H96</f>
        <v>network license renewal 2 years</v>
      </c>
      <c r="I92" s="77">
        <f>'Total Price List'!I96</f>
        <v>26.291999999999998</v>
      </c>
      <c r="J92" s="72">
        <f>'Total Price List'!J96</f>
        <v>26.291999999999998</v>
      </c>
    </row>
    <row r="93" spans="1:10" ht="12" customHeight="1" x14ac:dyDescent="0.25">
      <c r="A93" s="85" t="str">
        <f>'Total Price List'!A97</f>
        <v>G Data</v>
      </c>
      <c r="B93" s="7">
        <f>'Total Price List'!B97</f>
        <v>20376</v>
      </c>
      <c r="C93" s="6"/>
      <c r="D93" s="6" t="str">
        <f>'Total Price List'!D97</f>
        <v>Renewal  2Y GD AV ENT 250+</v>
      </c>
      <c r="E93" s="6" t="str">
        <f>'Total Price List'!E97</f>
        <v>Renewal 249 &lt; x &lt; 500</v>
      </c>
      <c r="F93" s="7" t="str">
        <f>'Total Price List'!F97</f>
        <v>Renewal</v>
      </c>
      <c r="G93" s="6" t="str">
        <f>'Total Price List'!G97</f>
        <v>G Data AntiVirus + MailSecurity + Backup</v>
      </c>
      <c r="H93" s="6" t="str">
        <f>'Total Price List'!H97</f>
        <v>network license renewal 2 years</v>
      </c>
      <c r="I93" s="77">
        <f>'Total Price List'!I97</f>
        <v>20.596800000000002</v>
      </c>
      <c r="J93" s="72">
        <f>'Total Price List'!J97</f>
        <v>20.596800000000002</v>
      </c>
    </row>
    <row r="94" spans="1:10" ht="12" customHeight="1" x14ac:dyDescent="0.25">
      <c r="A94" s="85" t="str">
        <f>'Total Price List'!A98</f>
        <v>G Data</v>
      </c>
      <c r="B94" s="7">
        <f>'Total Price List'!B98</f>
        <v>20377</v>
      </c>
      <c r="C94" s="6"/>
      <c r="D94" s="6" t="str">
        <f>'Total Price List'!D98</f>
        <v>Renewal  2Y GD AV ENT 500+</v>
      </c>
      <c r="E94" s="6" t="str">
        <f>'Total Price List'!E98</f>
        <v>Renewal 499 &lt; x &lt; 1000</v>
      </c>
      <c r="F94" s="7" t="str">
        <f>'Total Price List'!F98</f>
        <v>Renewal</v>
      </c>
      <c r="G94" s="6" t="str">
        <f>'Total Price List'!G98</f>
        <v>G Data AntiVirus + MailSecurity + Backup</v>
      </c>
      <c r="H94" s="6" t="str">
        <f>'Total Price List'!H98</f>
        <v>network license renewal 2 years</v>
      </c>
      <c r="I94" s="77">
        <f>'Total Price List'!I98</f>
        <v>17.858400000000003</v>
      </c>
      <c r="J94" s="72">
        <f>'Total Price List'!J98</f>
        <v>17.858400000000003</v>
      </c>
    </row>
    <row r="95" spans="1:10" ht="12" customHeight="1" x14ac:dyDescent="0.25">
      <c r="A95" s="85" t="str">
        <f>'Total Price List'!A99</f>
        <v>G Data</v>
      </c>
      <c r="B95" s="7">
        <f>'Total Price List'!B99</f>
        <v>20378</v>
      </c>
      <c r="C95" s="6"/>
      <c r="D95" s="6" t="str">
        <f>'Total Price List'!D99</f>
        <v>Renewal  2Y GD AV ENT 1000+</v>
      </c>
      <c r="E95" s="6" t="str">
        <f>'Total Price List'!E99</f>
        <v>Renewal 999 &lt; x &lt; 2500</v>
      </c>
      <c r="F95" s="7" t="str">
        <f>'Total Price List'!F99</f>
        <v>Renewal</v>
      </c>
      <c r="G95" s="6" t="str">
        <f>'Total Price List'!G99</f>
        <v>G Data AntiVirus + MailSecurity + Backup</v>
      </c>
      <c r="H95" s="6" t="str">
        <f>'Total Price List'!H99</f>
        <v>network license renewal 2 years</v>
      </c>
      <c r="I95" s="77">
        <f>'Total Price List'!I99</f>
        <v>16.224</v>
      </c>
      <c r="J95" s="72">
        <f>'Total Price List'!J99</f>
        <v>16.224</v>
      </c>
    </row>
    <row r="96" spans="1:10" ht="12" customHeight="1" x14ac:dyDescent="0.25">
      <c r="A96" s="85" t="str">
        <f>'Total Price List'!A100</f>
        <v>G Data</v>
      </c>
      <c r="B96" s="7">
        <f>'Total Price List'!B100</f>
        <v>20381</v>
      </c>
      <c r="C96" s="6"/>
      <c r="D96" s="6" t="str">
        <f>'Total Price List'!D100</f>
        <v>Renewal 3Y GD AV ENT -9</v>
      </c>
      <c r="E96" s="6" t="str">
        <f>'Total Price List'!E100</f>
        <v>Renewal 4 &lt; x &lt; 10</v>
      </c>
      <c r="F96" s="7" t="str">
        <f>'Total Price List'!F100</f>
        <v>Renewal</v>
      </c>
      <c r="G96" s="6" t="str">
        <f>'Total Price List'!G100</f>
        <v>G Data AntiVirus + MailSecurity + Backup</v>
      </c>
      <c r="H96" s="6" t="str">
        <f>'Total Price List'!H100</f>
        <v>network license renewal 3 years</v>
      </c>
      <c r="I96" s="77">
        <f>'Total Price List'!I100</f>
        <v>60</v>
      </c>
      <c r="J96" s="72">
        <f>'Total Price List'!J100</f>
        <v>60</v>
      </c>
    </row>
    <row r="97" spans="1:10" ht="12" customHeight="1" x14ac:dyDescent="0.25">
      <c r="A97" s="85" t="str">
        <f>'Total Price List'!A101</f>
        <v>G Data</v>
      </c>
      <c r="B97" s="7">
        <f>'Total Price List'!B101</f>
        <v>20382</v>
      </c>
      <c r="C97" s="6"/>
      <c r="D97" s="6" t="str">
        <f>'Total Price List'!D101</f>
        <v>Renewal 3Y GD AV ENT 10+</v>
      </c>
      <c r="E97" s="6" t="str">
        <f>'Total Price List'!E101</f>
        <v>Renewal 9 &lt; x &lt; 25</v>
      </c>
      <c r="F97" s="7" t="str">
        <f>'Total Price List'!F101</f>
        <v>Renewal</v>
      </c>
      <c r="G97" s="6" t="str">
        <f>'Total Price List'!G101</f>
        <v>G Data AntiVirus + MailSecurity + Backup</v>
      </c>
      <c r="H97" s="6" t="str">
        <f>'Total Price List'!H101</f>
        <v>network license renewal 3 years</v>
      </c>
      <c r="I97" s="77">
        <f>'Total Price List'!I101</f>
        <v>58.800000000000004</v>
      </c>
      <c r="J97" s="72">
        <f>'Total Price List'!J101</f>
        <v>58.800000000000004</v>
      </c>
    </row>
    <row r="98" spans="1:10" ht="12" customHeight="1" x14ac:dyDescent="0.25">
      <c r="A98" s="85" t="str">
        <f>'Total Price List'!A102</f>
        <v>G Data</v>
      </c>
      <c r="B98" s="7">
        <f>'Total Price List'!B102</f>
        <v>20383</v>
      </c>
      <c r="C98" s="6"/>
      <c r="D98" s="6" t="str">
        <f>'Total Price List'!D102</f>
        <v>Renewal 3Y GD AV ENT 25+</v>
      </c>
      <c r="E98" s="6" t="str">
        <f>'Total Price List'!E102</f>
        <v>Renewal 24 &lt; x &lt; 50</v>
      </c>
      <c r="F98" s="7" t="str">
        <f>'Total Price List'!F102</f>
        <v>Renewal</v>
      </c>
      <c r="G98" s="6" t="str">
        <f>'Total Price List'!G102</f>
        <v>G Data AntiVirus + MailSecurity + Backup</v>
      </c>
      <c r="H98" s="6" t="str">
        <f>'Total Price List'!H102</f>
        <v>network license renewal 3 years</v>
      </c>
      <c r="I98" s="77">
        <f>'Total Price List'!I102</f>
        <v>49.44</v>
      </c>
      <c r="J98" s="72">
        <f>'Total Price List'!J102</f>
        <v>49.44</v>
      </c>
    </row>
    <row r="99" spans="1:10" ht="12" customHeight="1" x14ac:dyDescent="0.25">
      <c r="A99" s="85" t="str">
        <f>'Total Price List'!A103</f>
        <v>G Data</v>
      </c>
      <c r="B99" s="7">
        <f>'Total Price List'!B103</f>
        <v>20384</v>
      </c>
      <c r="C99" s="6"/>
      <c r="D99" s="6" t="str">
        <f>'Total Price List'!D103</f>
        <v>Renewal 3Y GD AV ENT 50+</v>
      </c>
      <c r="E99" s="6" t="str">
        <f>'Total Price List'!E103</f>
        <v>Renewal 49 &lt; x &lt; 100</v>
      </c>
      <c r="F99" s="7" t="str">
        <f>'Total Price List'!F103</f>
        <v>Renewal</v>
      </c>
      <c r="G99" s="6" t="str">
        <f>'Total Price List'!G103</f>
        <v>G Data AntiVirus + MailSecurity + Backup</v>
      </c>
      <c r="H99" s="6" t="str">
        <f>'Total Price List'!H103</f>
        <v>network license renewal 3 years</v>
      </c>
      <c r="I99" s="77">
        <f>'Total Price List'!I103</f>
        <v>46.32</v>
      </c>
      <c r="J99" s="72">
        <f>'Total Price List'!J103</f>
        <v>46.32</v>
      </c>
    </row>
    <row r="100" spans="1:10" ht="12" customHeight="1" x14ac:dyDescent="0.25">
      <c r="A100" s="85" t="str">
        <f>'Total Price List'!A104</f>
        <v>G Data</v>
      </c>
      <c r="B100" s="7">
        <f>'Total Price List'!B104</f>
        <v>20385</v>
      </c>
      <c r="C100" s="6"/>
      <c r="D100" s="6" t="str">
        <f>'Total Price List'!D104</f>
        <v>Renewal 3Y GD AV ENT 100+</v>
      </c>
      <c r="E100" s="6" t="str">
        <f>'Total Price List'!E104</f>
        <v>Renewal 99 &lt; x &lt; 250</v>
      </c>
      <c r="F100" s="7" t="str">
        <f>'Total Price List'!F104</f>
        <v>Renewal</v>
      </c>
      <c r="G100" s="6" t="str">
        <f>'Total Price List'!G104</f>
        <v>G Data AntiVirus + MailSecurity + Backup</v>
      </c>
      <c r="H100" s="6" t="str">
        <f>'Total Price List'!H104</f>
        <v>network license renewal 3 years</v>
      </c>
      <c r="I100" s="77">
        <f>'Total Price List'!I104</f>
        <v>37.559999999999995</v>
      </c>
      <c r="J100" s="72">
        <f>'Total Price List'!J104</f>
        <v>37.559999999999995</v>
      </c>
    </row>
    <row r="101" spans="1:10" ht="12" customHeight="1" x14ac:dyDescent="0.25">
      <c r="A101" s="85" t="str">
        <f>'Total Price List'!A105</f>
        <v>G Data</v>
      </c>
      <c r="B101" s="7">
        <f>'Total Price List'!B105</f>
        <v>20386</v>
      </c>
      <c r="C101" s="6"/>
      <c r="D101" s="6" t="str">
        <f>'Total Price List'!D105</f>
        <v>Renewal 3Y GD AV ENT 250+</v>
      </c>
      <c r="E101" s="6" t="str">
        <f>'Total Price List'!E105</f>
        <v>Renewal 249 &lt; x &lt; 500</v>
      </c>
      <c r="F101" s="7" t="str">
        <f>'Total Price List'!F105</f>
        <v>Renewal</v>
      </c>
      <c r="G101" s="6" t="str">
        <f>'Total Price List'!G105</f>
        <v>G Data AntiVirus + MailSecurity + Backup</v>
      </c>
      <c r="H101" s="6" t="str">
        <f>'Total Price List'!H105</f>
        <v>network license renewal 3 years</v>
      </c>
      <c r="I101" s="77">
        <f>'Total Price List'!I105</f>
        <v>29.423999999999996</v>
      </c>
      <c r="J101" s="72">
        <f>'Total Price List'!J105</f>
        <v>29.423999999999996</v>
      </c>
    </row>
    <row r="102" spans="1:10" ht="12" customHeight="1" x14ac:dyDescent="0.25">
      <c r="A102" s="85" t="str">
        <f>'Total Price List'!A106</f>
        <v>G Data</v>
      </c>
      <c r="B102" s="7">
        <f>'Total Price List'!B106</f>
        <v>20387</v>
      </c>
      <c r="C102" s="6"/>
      <c r="D102" s="6" t="str">
        <f>'Total Price List'!D106</f>
        <v>Renewal 3Y GD AV ENT 500+</v>
      </c>
      <c r="E102" s="6" t="str">
        <f>'Total Price List'!E106</f>
        <v>Renewal 499 &lt; x &lt; 1000</v>
      </c>
      <c r="F102" s="7" t="str">
        <f>'Total Price List'!F106</f>
        <v>Renewal</v>
      </c>
      <c r="G102" s="6" t="str">
        <f>'Total Price List'!G106</f>
        <v>G Data AntiVirus + MailSecurity + Backup</v>
      </c>
      <c r="H102" s="6" t="str">
        <f>'Total Price List'!H106</f>
        <v>network license renewal 3 years</v>
      </c>
      <c r="I102" s="77">
        <f>'Total Price List'!I106</f>
        <v>25.512</v>
      </c>
      <c r="J102" s="72">
        <f>'Total Price List'!J106</f>
        <v>25.512</v>
      </c>
    </row>
    <row r="103" spans="1:10" ht="12" customHeight="1" thickBot="1" x14ac:dyDescent="0.3">
      <c r="A103" s="86" t="str">
        <f>'Total Price List'!A107</f>
        <v>G Data</v>
      </c>
      <c r="B103" s="20">
        <f>'Total Price List'!B107</f>
        <v>20388</v>
      </c>
      <c r="C103" s="21"/>
      <c r="D103" s="21" t="str">
        <f>'Total Price List'!D107</f>
        <v>Renewal 3Y GD AV ENT 1000+</v>
      </c>
      <c r="E103" s="21" t="str">
        <f>'Total Price List'!E107</f>
        <v>Renewal 999 &lt; x &lt; 2500</v>
      </c>
      <c r="F103" s="20" t="str">
        <f>'Total Price List'!F107</f>
        <v>Renewal</v>
      </c>
      <c r="G103" s="21" t="str">
        <f>'Total Price List'!G107</f>
        <v>G Data AntiVirus + MailSecurity + Backup</v>
      </c>
      <c r="H103" s="21" t="str">
        <f>'Total Price List'!H107</f>
        <v>network license renewal 3 years</v>
      </c>
      <c r="I103" s="78">
        <f>'Total Price List'!I107</f>
        <v>21.840000000000003</v>
      </c>
      <c r="J103" s="73">
        <f>'Total Price List'!J107</f>
        <v>21.840000000000003</v>
      </c>
    </row>
    <row r="104" spans="1:10" ht="12" customHeight="1" x14ac:dyDescent="0.25">
      <c r="A104" s="99" t="str">
        <f>'Total Price List'!A108</f>
        <v>G Data ClientSecurity Business network license</v>
      </c>
      <c r="B104" s="99"/>
      <c r="C104" s="99"/>
      <c r="D104" s="99"/>
      <c r="E104" s="99"/>
      <c r="F104" s="99"/>
      <c r="G104" s="99"/>
      <c r="H104" s="99"/>
      <c r="I104" s="99"/>
      <c r="J104" s="100"/>
    </row>
    <row r="105" spans="1:10" ht="12" customHeight="1" x14ac:dyDescent="0.25">
      <c r="A105" s="83" t="str">
        <f>'Total Price List'!A109</f>
        <v>G Data</v>
      </c>
      <c r="B105" s="4">
        <f>'Total Price List'!B109</f>
        <v>20411</v>
      </c>
      <c r="C105" s="3"/>
      <c r="D105" s="3" t="str">
        <f>'Total Price List'!D109</f>
        <v>License 1Y GD CS BUS -9</v>
      </c>
      <c r="E105" s="3" t="str">
        <f>'Total Price List'!E109</f>
        <v>License 4 &lt; x &lt; 10</v>
      </c>
      <c r="F105" s="4" t="str">
        <f>'Total Price List'!F109</f>
        <v>License</v>
      </c>
      <c r="G105" s="3" t="str">
        <f>'Total Price List'!G109</f>
        <v>G Data ClientSecurity Business</v>
      </c>
      <c r="H105" s="3" t="str">
        <f>'Total Price List'!H109</f>
        <v>network license 1 year</v>
      </c>
      <c r="I105" s="64">
        <f>'Total Price List'!I109</f>
        <v>41.250000000000007</v>
      </c>
      <c r="J105" s="65">
        <f>'Total Price List'!J109</f>
        <v>41.250000000000007</v>
      </c>
    </row>
    <row r="106" spans="1:10" ht="12" customHeight="1" x14ac:dyDescent="0.25">
      <c r="A106" s="83" t="str">
        <f>'Total Price List'!A110</f>
        <v>G Data</v>
      </c>
      <c r="B106" s="4">
        <f>'Total Price List'!B110</f>
        <v>20412</v>
      </c>
      <c r="C106" s="3"/>
      <c r="D106" s="3" t="str">
        <f>'Total Price List'!D110</f>
        <v>License 1Y GD CS BUS 10+</v>
      </c>
      <c r="E106" s="3" t="str">
        <f>'Total Price List'!E110</f>
        <v>License 9 &lt; x &lt; 25</v>
      </c>
      <c r="F106" s="4" t="str">
        <f>'Total Price List'!F110</f>
        <v>License</v>
      </c>
      <c r="G106" s="3" t="str">
        <f>'Total Price List'!G110</f>
        <v>G Data ClientSecurity Business</v>
      </c>
      <c r="H106" s="3" t="str">
        <f>'Total Price List'!H110</f>
        <v>network license 1 year</v>
      </c>
      <c r="I106" s="64">
        <f>'Total Price List'!I110</f>
        <v>34.650000000000006</v>
      </c>
      <c r="J106" s="65">
        <f>'Total Price List'!J110</f>
        <v>34.650000000000006</v>
      </c>
    </row>
    <row r="107" spans="1:10" ht="12" customHeight="1" x14ac:dyDescent="0.25">
      <c r="A107" s="83" t="str">
        <f>'Total Price List'!A111</f>
        <v>G Data</v>
      </c>
      <c r="B107" s="4">
        <f>'Total Price List'!B111</f>
        <v>20413</v>
      </c>
      <c r="C107" s="3"/>
      <c r="D107" s="3" t="str">
        <f>'Total Price List'!D111</f>
        <v>License 1Y GD CS BUS 25+</v>
      </c>
      <c r="E107" s="3" t="str">
        <f>'Total Price List'!E111</f>
        <v>License 24 &lt; x &lt; 50</v>
      </c>
      <c r="F107" s="4" t="str">
        <f>'Total Price List'!F111</f>
        <v>License</v>
      </c>
      <c r="G107" s="3" t="str">
        <f>'Total Price List'!G111</f>
        <v>G Data ClientSecurity Business</v>
      </c>
      <c r="H107" s="3" t="str">
        <f>'Total Price List'!H111</f>
        <v>network license 1 year</v>
      </c>
      <c r="I107" s="64">
        <f>'Total Price List'!I111</f>
        <v>27.637500000000003</v>
      </c>
      <c r="J107" s="65">
        <f>'Total Price List'!J111</f>
        <v>27.637500000000003</v>
      </c>
    </row>
    <row r="108" spans="1:10" ht="12" customHeight="1" x14ac:dyDescent="0.25">
      <c r="A108" s="83" t="str">
        <f>'Total Price List'!A112</f>
        <v>G Data</v>
      </c>
      <c r="B108" s="4">
        <f>'Total Price List'!B112</f>
        <v>20414</v>
      </c>
      <c r="C108" s="3"/>
      <c r="D108" s="3" t="str">
        <f>'Total Price List'!D112</f>
        <v>License 1Y GD CS BUS 50+</v>
      </c>
      <c r="E108" s="3" t="str">
        <f>'Total Price List'!E112</f>
        <v>License 49 &lt; x &lt; 100</v>
      </c>
      <c r="F108" s="4" t="str">
        <f>'Total Price List'!F112</f>
        <v>License</v>
      </c>
      <c r="G108" s="3" t="str">
        <f>'Total Price List'!G112</f>
        <v>G Data ClientSecurity Business</v>
      </c>
      <c r="H108" s="3" t="str">
        <f>'Total Price List'!H112</f>
        <v>network license 1 year</v>
      </c>
      <c r="I108" s="64">
        <f>'Total Price List'!I112</f>
        <v>21.450000000000003</v>
      </c>
      <c r="J108" s="65">
        <f>'Total Price List'!J112</f>
        <v>21.450000000000003</v>
      </c>
    </row>
    <row r="109" spans="1:10" ht="12" customHeight="1" x14ac:dyDescent="0.25">
      <c r="A109" s="83" t="str">
        <f>'Total Price List'!A113</f>
        <v>G Data</v>
      </c>
      <c r="B109" s="4">
        <f>'Total Price List'!B113</f>
        <v>20415</v>
      </c>
      <c r="C109" s="3"/>
      <c r="D109" s="3" t="str">
        <f>'Total Price List'!D113</f>
        <v>License 1Y GD CS BUS 100+</v>
      </c>
      <c r="E109" s="3" t="str">
        <f>'Total Price List'!E113</f>
        <v>License 99 &lt; x &lt; 250</v>
      </c>
      <c r="F109" s="4" t="str">
        <f>'Total Price List'!F113</f>
        <v>License</v>
      </c>
      <c r="G109" s="3" t="str">
        <f>'Total Price List'!G113</f>
        <v>G Data ClientSecurity Business</v>
      </c>
      <c r="H109" s="3" t="str">
        <f>'Total Price List'!H113</f>
        <v>network license 1 year</v>
      </c>
      <c r="I109" s="64">
        <f>'Total Price List'!I113</f>
        <v>18.975000000000001</v>
      </c>
      <c r="J109" s="65">
        <f>'Total Price List'!J113</f>
        <v>18.975000000000001</v>
      </c>
    </row>
    <row r="110" spans="1:10" ht="12" customHeight="1" x14ac:dyDescent="0.25">
      <c r="A110" s="83" t="str">
        <f>'Total Price List'!A114</f>
        <v>G Data</v>
      </c>
      <c r="B110" s="4">
        <f>'Total Price List'!B114</f>
        <v>20416</v>
      </c>
      <c r="C110" s="3"/>
      <c r="D110" s="3" t="str">
        <f>'Total Price List'!D114</f>
        <v>License 1Y GD CS BUS 250+</v>
      </c>
      <c r="E110" s="3" t="str">
        <f>'Total Price List'!E114</f>
        <v>License 249 &lt; x &lt; 500</v>
      </c>
      <c r="F110" s="4" t="str">
        <f>'Total Price List'!F114</f>
        <v>License</v>
      </c>
      <c r="G110" s="3" t="str">
        <f>'Total Price List'!G114</f>
        <v>G Data ClientSecurity Business</v>
      </c>
      <c r="H110" s="3" t="str">
        <f>'Total Price List'!H114</f>
        <v>network license 1 year</v>
      </c>
      <c r="I110" s="64">
        <f>'Total Price List'!I114</f>
        <v>16.5</v>
      </c>
      <c r="J110" s="65">
        <f>'Total Price List'!J114</f>
        <v>16.5</v>
      </c>
    </row>
    <row r="111" spans="1:10" ht="12" customHeight="1" x14ac:dyDescent="0.25">
      <c r="A111" s="83" t="str">
        <f>'Total Price List'!A115</f>
        <v>G Data</v>
      </c>
      <c r="B111" s="4">
        <f>'Total Price List'!B115</f>
        <v>20417</v>
      </c>
      <c r="C111" s="3"/>
      <c r="D111" s="3" t="str">
        <f>'Total Price List'!D115</f>
        <v>License 1Y GD CS BUS 500+</v>
      </c>
      <c r="E111" s="3" t="str">
        <f>'Total Price List'!E115</f>
        <v>License 499 &lt; x &lt; 1000</v>
      </c>
      <c r="F111" s="4" t="str">
        <f>'Total Price List'!F115</f>
        <v>License</v>
      </c>
      <c r="G111" s="3" t="str">
        <f>'Total Price List'!G115</f>
        <v>G Data ClientSecurity Business</v>
      </c>
      <c r="H111" s="3" t="str">
        <f>'Total Price List'!H115</f>
        <v>network license 1 year</v>
      </c>
      <c r="I111" s="64">
        <f>'Total Price List'!I115</f>
        <v>14.850000000000001</v>
      </c>
      <c r="J111" s="65">
        <f>'Total Price List'!J115</f>
        <v>14.850000000000001</v>
      </c>
    </row>
    <row r="112" spans="1:10" ht="12" customHeight="1" x14ac:dyDescent="0.25">
      <c r="A112" s="83" t="str">
        <f>'Total Price List'!A116</f>
        <v>G Data</v>
      </c>
      <c r="B112" s="4">
        <f>'Total Price List'!B116</f>
        <v>20418</v>
      </c>
      <c r="C112" s="3"/>
      <c r="D112" s="3" t="str">
        <f>'Total Price List'!D116</f>
        <v>License 1Y GD CS BUS 1000+</v>
      </c>
      <c r="E112" s="3" t="str">
        <f>'Total Price List'!E116</f>
        <v>License 999 &lt; x &lt; 2500</v>
      </c>
      <c r="F112" s="4" t="str">
        <f>'Total Price List'!F116</f>
        <v>License</v>
      </c>
      <c r="G112" s="3" t="str">
        <f>'Total Price List'!G116</f>
        <v>G Data ClientSecurity Business</v>
      </c>
      <c r="H112" s="3" t="str">
        <f>'Total Price List'!H116</f>
        <v>network license 1 year</v>
      </c>
      <c r="I112" s="64">
        <f>'Total Price List'!I116</f>
        <v>13.200000000000001</v>
      </c>
      <c r="J112" s="65">
        <f>'Total Price List'!J116</f>
        <v>13.200000000000001</v>
      </c>
    </row>
    <row r="113" spans="1:10" ht="12" customHeight="1" x14ac:dyDescent="0.25">
      <c r="A113" s="83" t="str">
        <f>'Total Price List'!A117</f>
        <v>G Data</v>
      </c>
      <c r="B113" s="4">
        <f>'Total Price List'!B117</f>
        <v>20421</v>
      </c>
      <c r="C113" s="3"/>
      <c r="D113" s="3" t="str">
        <f>'Total Price List'!D117</f>
        <v>License 2Y GD CS BUS -9</v>
      </c>
      <c r="E113" s="3" t="str">
        <f>'Total Price List'!E117</f>
        <v>License 4 &lt; x &lt; 10</v>
      </c>
      <c r="F113" s="4" t="str">
        <f>'Total Price List'!F117</f>
        <v>License</v>
      </c>
      <c r="G113" s="3" t="str">
        <f>'Total Price List'!G117</f>
        <v>G Data ClientSecurity Business</v>
      </c>
      <c r="H113" s="3" t="str">
        <f>'Total Price List'!H117</f>
        <v>network license 2 years</v>
      </c>
      <c r="I113" s="64">
        <f>'Total Price List'!I117</f>
        <v>57.75</v>
      </c>
      <c r="J113" s="65">
        <f>'Total Price List'!J117</f>
        <v>57.75</v>
      </c>
    </row>
    <row r="114" spans="1:10" ht="12" customHeight="1" x14ac:dyDescent="0.25">
      <c r="A114" s="83" t="str">
        <f>'Total Price List'!A118</f>
        <v>G Data</v>
      </c>
      <c r="B114" s="4">
        <f>'Total Price List'!B118</f>
        <v>20422</v>
      </c>
      <c r="C114" s="3"/>
      <c r="D114" s="3" t="str">
        <f>'Total Price List'!D118</f>
        <v>License 2Y GD CS BUS 10+</v>
      </c>
      <c r="E114" s="3" t="str">
        <f>'Total Price List'!E118</f>
        <v>License 9 &lt; x &lt; 25</v>
      </c>
      <c r="F114" s="4" t="str">
        <f>'Total Price List'!F118</f>
        <v>License</v>
      </c>
      <c r="G114" s="3" t="str">
        <f>'Total Price List'!G118</f>
        <v>G Data ClientSecurity Business</v>
      </c>
      <c r="H114" s="3" t="str">
        <f>'Total Price List'!H118</f>
        <v>network license 2 years</v>
      </c>
      <c r="I114" s="64">
        <f>'Total Price List'!I118</f>
        <v>51.150000000000006</v>
      </c>
      <c r="J114" s="65">
        <f>'Total Price List'!J118</f>
        <v>51.150000000000006</v>
      </c>
    </row>
    <row r="115" spans="1:10" ht="12" customHeight="1" x14ac:dyDescent="0.25">
      <c r="A115" s="83" t="str">
        <f>'Total Price List'!A119</f>
        <v>G Data</v>
      </c>
      <c r="B115" s="4">
        <f>'Total Price List'!B119</f>
        <v>20423</v>
      </c>
      <c r="C115" s="3"/>
      <c r="D115" s="3" t="str">
        <f>'Total Price List'!D119</f>
        <v>License 2Y GD CS BUS 25+</v>
      </c>
      <c r="E115" s="3" t="str">
        <f>'Total Price List'!E119</f>
        <v>License 24 &lt; x &lt; 50</v>
      </c>
      <c r="F115" s="4" t="str">
        <f>'Total Price List'!F119</f>
        <v>License</v>
      </c>
      <c r="G115" s="3" t="str">
        <f>'Total Price List'!G119</f>
        <v>G Data ClientSecurity Business</v>
      </c>
      <c r="H115" s="3" t="str">
        <f>'Total Price List'!H119</f>
        <v>network license 2 years</v>
      </c>
      <c r="I115" s="64">
        <f>'Total Price List'!I119</f>
        <v>39.6</v>
      </c>
      <c r="J115" s="65">
        <f>'Total Price List'!J119</f>
        <v>39.6</v>
      </c>
    </row>
    <row r="116" spans="1:10" ht="12" customHeight="1" x14ac:dyDescent="0.25">
      <c r="A116" s="83" t="str">
        <f>'Total Price List'!A120</f>
        <v>G Data</v>
      </c>
      <c r="B116" s="4">
        <f>'Total Price List'!B120</f>
        <v>20424</v>
      </c>
      <c r="C116" s="3"/>
      <c r="D116" s="3" t="str">
        <f>'Total Price List'!D120</f>
        <v>License 2Y GD CS BUS 50+</v>
      </c>
      <c r="E116" s="3" t="str">
        <f>'Total Price List'!E120</f>
        <v>License 49 &lt; x &lt; 100</v>
      </c>
      <c r="F116" s="4" t="str">
        <f>'Total Price List'!F120</f>
        <v>License</v>
      </c>
      <c r="G116" s="3" t="str">
        <f>'Total Price List'!G120</f>
        <v>G Data ClientSecurity Business</v>
      </c>
      <c r="H116" s="3" t="str">
        <f>'Total Price List'!H120</f>
        <v>network license 2 years</v>
      </c>
      <c r="I116" s="64">
        <f>'Total Price List'!I120</f>
        <v>33</v>
      </c>
      <c r="J116" s="65">
        <f>'Total Price List'!J120</f>
        <v>33</v>
      </c>
    </row>
    <row r="117" spans="1:10" ht="12" customHeight="1" x14ac:dyDescent="0.25">
      <c r="A117" s="83" t="str">
        <f>'Total Price List'!A121</f>
        <v>G Data</v>
      </c>
      <c r="B117" s="4">
        <f>'Total Price List'!B121</f>
        <v>20425</v>
      </c>
      <c r="C117" s="3"/>
      <c r="D117" s="3" t="str">
        <f>'Total Price List'!D121</f>
        <v>License 2Y GD CS BUS 100+</v>
      </c>
      <c r="E117" s="3" t="str">
        <f>'Total Price List'!E121</f>
        <v>License 99 &lt; x &lt; 250</v>
      </c>
      <c r="F117" s="4" t="str">
        <f>'Total Price List'!F121</f>
        <v>License</v>
      </c>
      <c r="G117" s="3" t="str">
        <f>'Total Price List'!G121</f>
        <v>G Data ClientSecurity Business</v>
      </c>
      <c r="H117" s="3" t="str">
        <f>'Total Price List'!H121</f>
        <v>network license 2 years</v>
      </c>
      <c r="I117" s="64">
        <f>'Total Price List'!I121</f>
        <v>28.875</v>
      </c>
      <c r="J117" s="65">
        <f>'Total Price List'!J121</f>
        <v>28.875</v>
      </c>
    </row>
    <row r="118" spans="1:10" ht="12" customHeight="1" x14ac:dyDescent="0.25">
      <c r="A118" s="83" t="str">
        <f>'Total Price List'!A122</f>
        <v>G Data</v>
      </c>
      <c r="B118" s="4">
        <f>'Total Price List'!B122</f>
        <v>20426</v>
      </c>
      <c r="C118" s="3"/>
      <c r="D118" s="3" t="str">
        <f>'Total Price List'!D122</f>
        <v>License 2Y GD CS BUS 250+</v>
      </c>
      <c r="E118" s="3" t="str">
        <f>'Total Price List'!E122</f>
        <v>License 249 &lt; x &lt; 500</v>
      </c>
      <c r="F118" s="4" t="str">
        <f>'Total Price List'!F122</f>
        <v>License</v>
      </c>
      <c r="G118" s="3" t="str">
        <f>'Total Price List'!G122</f>
        <v>G Data ClientSecurity Business</v>
      </c>
      <c r="H118" s="3" t="str">
        <f>'Total Price List'!H122</f>
        <v>network license 2 years</v>
      </c>
      <c r="I118" s="64">
        <f>'Total Price List'!I122</f>
        <v>24.75</v>
      </c>
      <c r="J118" s="65">
        <f>'Total Price List'!J122</f>
        <v>24.75</v>
      </c>
    </row>
    <row r="119" spans="1:10" ht="12" customHeight="1" x14ac:dyDescent="0.25">
      <c r="A119" s="83" t="str">
        <f>'Total Price List'!A123</f>
        <v>G Data</v>
      </c>
      <c r="B119" s="4">
        <f>'Total Price List'!B123</f>
        <v>20427</v>
      </c>
      <c r="C119" s="3"/>
      <c r="D119" s="3" t="str">
        <f>'Total Price List'!D123</f>
        <v>License 2Y GD CS BUS 500+</v>
      </c>
      <c r="E119" s="3" t="str">
        <f>'Total Price List'!E123</f>
        <v>License 499 &lt; x &lt; 1000</v>
      </c>
      <c r="F119" s="4" t="str">
        <f>'Total Price List'!F123</f>
        <v>License</v>
      </c>
      <c r="G119" s="3" t="str">
        <f>'Total Price List'!G123</f>
        <v>G Data ClientSecurity Business</v>
      </c>
      <c r="H119" s="3" t="str">
        <f>'Total Price List'!H123</f>
        <v>network license 2 years</v>
      </c>
      <c r="I119" s="64">
        <f>'Total Price List'!I123</f>
        <v>22.275000000000002</v>
      </c>
      <c r="J119" s="65">
        <f>'Total Price List'!J123</f>
        <v>22.275000000000002</v>
      </c>
    </row>
    <row r="120" spans="1:10" ht="12" customHeight="1" x14ac:dyDescent="0.25">
      <c r="A120" s="83" t="str">
        <f>'Total Price List'!A124</f>
        <v>G Data</v>
      </c>
      <c r="B120" s="4">
        <f>'Total Price List'!B124</f>
        <v>20428</v>
      </c>
      <c r="C120" s="3"/>
      <c r="D120" s="3" t="str">
        <f>'Total Price List'!D124</f>
        <v>License 2Y GD CS BUS 1000+</v>
      </c>
      <c r="E120" s="3" t="str">
        <f>'Total Price List'!E124</f>
        <v>License 999 &lt; x &lt; 2500</v>
      </c>
      <c r="F120" s="4" t="str">
        <f>'Total Price List'!F124</f>
        <v>License</v>
      </c>
      <c r="G120" s="3" t="str">
        <f>'Total Price List'!G124</f>
        <v>G Data ClientSecurity Business</v>
      </c>
      <c r="H120" s="3" t="str">
        <f>'Total Price List'!H124</f>
        <v>network license 2 years</v>
      </c>
      <c r="I120" s="64">
        <f>'Total Price List'!I124</f>
        <v>20.625000000000004</v>
      </c>
      <c r="J120" s="65">
        <f>'Total Price List'!J124</f>
        <v>20.625000000000004</v>
      </c>
    </row>
    <row r="121" spans="1:10" ht="12" customHeight="1" x14ac:dyDescent="0.25">
      <c r="A121" s="83" t="str">
        <f>'Total Price List'!A125</f>
        <v>G Data</v>
      </c>
      <c r="B121" s="4">
        <f>'Total Price List'!B125</f>
        <v>20431</v>
      </c>
      <c r="C121" s="3"/>
      <c r="D121" s="3" t="str">
        <f>'Total Price List'!D125</f>
        <v>License 3Y GD CS BUS -9</v>
      </c>
      <c r="E121" s="3" t="str">
        <f>'Total Price List'!E125</f>
        <v>License 4 &lt; x &lt; 10</v>
      </c>
      <c r="F121" s="4" t="str">
        <f>'Total Price List'!F125</f>
        <v>License</v>
      </c>
      <c r="G121" s="3" t="str">
        <f>'Total Price List'!G125</f>
        <v>G Data ClientSecurity Business</v>
      </c>
      <c r="H121" s="3" t="str">
        <f>'Total Price List'!H125</f>
        <v>network license 3 years</v>
      </c>
      <c r="I121" s="64">
        <f>'Total Price List'!I125</f>
        <v>73.425000000000011</v>
      </c>
      <c r="J121" s="65">
        <f>'Total Price List'!J125</f>
        <v>73.425000000000011</v>
      </c>
    </row>
    <row r="122" spans="1:10" ht="12" customHeight="1" x14ac:dyDescent="0.25">
      <c r="A122" s="83" t="str">
        <f>'Total Price List'!A126</f>
        <v>G Data</v>
      </c>
      <c r="B122" s="4">
        <f>'Total Price List'!B126</f>
        <v>20432</v>
      </c>
      <c r="C122" s="3"/>
      <c r="D122" s="3" t="str">
        <f>'Total Price List'!D126</f>
        <v>License 3Y GD CS BUS 10+</v>
      </c>
      <c r="E122" s="3" t="str">
        <f>'Total Price List'!E126</f>
        <v>License 9 &lt; x &lt; 25</v>
      </c>
      <c r="F122" s="4" t="str">
        <f>'Total Price List'!F126</f>
        <v>License</v>
      </c>
      <c r="G122" s="3" t="str">
        <f>'Total Price List'!G126</f>
        <v>G Data ClientSecurity Business</v>
      </c>
      <c r="H122" s="3" t="str">
        <f>'Total Price List'!H126</f>
        <v>network license 3 years</v>
      </c>
      <c r="I122" s="64">
        <f>'Total Price List'!I126</f>
        <v>65.175000000000011</v>
      </c>
      <c r="J122" s="65">
        <f>'Total Price List'!J126</f>
        <v>65.175000000000011</v>
      </c>
    </row>
    <row r="123" spans="1:10" ht="12" customHeight="1" x14ac:dyDescent="0.25">
      <c r="A123" s="83" t="str">
        <f>'Total Price List'!A127</f>
        <v>G Data</v>
      </c>
      <c r="B123" s="4">
        <f>'Total Price List'!B127</f>
        <v>20433</v>
      </c>
      <c r="C123" s="3"/>
      <c r="D123" s="3" t="str">
        <f>'Total Price List'!D127</f>
        <v>License 3Y GD CS BUS 25+</v>
      </c>
      <c r="E123" s="3" t="str">
        <f>'Total Price List'!E127</f>
        <v>License 24 &lt; x &lt; 50</v>
      </c>
      <c r="F123" s="4" t="str">
        <f>'Total Price List'!F127</f>
        <v>License</v>
      </c>
      <c r="G123" s="3" t="str">
        <f>'Total Price List'!G127</f>
        <v>G Data ClientSecurity Business</v>
      </c>
      <c r="H123" s="3" t="str">
        <f>'Total Price List'!H127</f>
        <v>network license 3 years</v>
      </c>
      <c r="I123" s="64">
        <f>'Total Price List'!I127</f>
        <v>56.100000000000009</v>
      </c>
      <c r="J123" s="65">
        <f>'Total Price List'!J127</f>
        <v>56.100000000000009</v>
      </c>
    </row>
    <row r="124" spans="1:10" ht="12" customHeight="1" x14ac:dyDescent="0.25">
      <c r="A124" s="83" t="str">
        <f>'Total Price List'!A128</f>
        <v>G Data</v>
      </c>
      <c r="B124" s="4">
        <f>'Total Price List'!B128</f>
        <v>20434</v>
      </c>
      <c r="C124" s="3"/>
      <c r="D124" s="3" t="str">
        <f>'Total Price List'!D128</f>
        <v>License 3Y GD CS BUS 50+</v>
      </c>
      <c r="E124" s="3" t="str">
        <f>'Total Price List'!E128</f>
        <v>License 49 &lt; x &lt; 100</v>
      </c>
      <c r="F124" s="4" t="str">
        <f>'Total Price List'!F128</f>
        <v>License</v>
      </c>
      <c r="G124" s="3" t="str">
        <f>'Total Price List'!G128</f>
        <v>G Data ClientSecurity Business</v>
      </c>
      <c r="H124" s="3" t="str">
        <f>'Total Price List'!H128</f>
        <v>network license 3 years</v>
      </c>
      <c r="I124" s="64">
        <f>'Total Price List'!I128</f>
        <v>47.85</v>
      </c>
      <c r="J124" s="65">
        <f>'Total Price List'!J128</f>
        <v>47.85</v>
      </c>
    </row>
    <row r="125" spans="1:10" ht="12" customHeight="1" x14ac:dyDescent="0.25">
      <c r="A125" s="83" t="str">
        <f>'Total Price List'!A129</f>
        <v>G Data</v>
      </c>
      <c r="B125" s="4">
        <f>'Total Price List'!B129</f>
        <v>20435</v>
      </c>
      <c r="C125" s="3"/>
      <c r="D125" s="3" t="str">
        <f>'Total Price List'!D129</f>
        <v>License 3Y GD CS BUS 100+</v>
      </c>
      <c r="E125" s="3" t="str">
        <f>'Total Price List'!E129</f>
        <v>License 99 &lt; x &lt; 250</v>
      </c>
      <c r="F125" s="4" t="str">
        <f>'Total Price List'!F129</f>
        <v>License</v>
      </c>
      <c r="G125" s="3" t="str">
        <f>'Total Price List'!G129</f>
        <v>G Data ClientSecurity Business</v>
      </c>
      <c r="H125" s="3" t="str">
        <f>'Total Price List'!H129</f>
        <v>network license 3 years</v>
      </c>
      <c r="I125" s="64">
        <f>'Total Price List'!I129</f>
        <v>40.425000000000004</v>
      </c>
      <c r="J125" s="65">
        <f>'Total Price List'!J129</f>
        <v>40.425000000000004</v>
      </c>
    </row>
    <row r="126" spans="1:10" ht="12" customHeight="1" x14ac:dyDescent="0.25">
      <c r="A126" s="83" t="str">
        <f>'Total Price List'!A130</f>
        <v>G Data</v>
      </c>
      <c r="B126" s="4">
        <f>'Total Price List'!B130</f>
        <v>20436</v>
      </c>
      <c r="C126" s="3"/>
      <c r="D126" s="3" t="str">
        <f>'Total Price List'!D130</f>
        <v>License 3Y GD CS BUS 250+</v>
      </c>
      <c r="E126" s="3" t="str">
        <f>'Total Price List'!E130</f>
        <v>License 249 &lt; x &lt; 500</v>
      </c>
      <c r="F126" s="4" t="str">
        <f>'Total Price List'!F130</f>
        <v>License</v>
      </c>
      <c r="G126" s="3" t="str">
        <f>'Total Price List'!G130</f>
        <v>G Data ClientSecurity Business</v>
      </c>
      <c r="H126" s="3" t="str">
        <f>'Total Price List'!H130</f>
        <v>network license 3 years</v>
      </c>
      <c r="I126" s="64">
        <f>'Total Price List'!I130</f>
        <v>33.825000000000003</v>
      </c>
      <c r="J126" s="65">
        <f>'Total Price List'!J130</f>
        <v>33.825000000000003</v>
      </c>
    </row>
    <row r="127" spans="1:10" ht="12" customHeight="1" x14ac:dyDescent="0.25">
      <c r="A127" s="83" t="str">
        <f>'Total Price List'!A131</f>
        <v>G Data</v>
      </c>
      <c r="B127" s="4">
        <f>'Total Price List'!B131</f>
        <v>20437</v>
      </c>
      <c r="C127" s="3"/>
      <c r="D127" s="3" t="str">
        <f>'Total Price List'!D131</f>
        <v>License 3Y GD CS BUS 500+</v>
      </c>
      <c r="E127" s="3" t="str">
        <f>'Total Price List'!E131</f>
        <v>License 499 &lt; x &lt; 1000</v>
      </c>
      <c r="F127" s="4" t="str">
        <f>'Total Price List'!F131</f>
        <v>License</v>
      </c>
      <c r="G127" s="3" t="str">
        <f>'Total Price List'!G131</f>
        <v>G Data ClientSecurity Business</v>
      </c>
      <c r="H127" s="3" t="str">
        <f>'Total Price List'!H131</f>
        <v>network license 3 years</v>
      </c>
      <c r="I127" s="64">
        <f>'Total Price List'!I131</f>
        <v>30.525000000000002</v>
      </c>
      <c r="J127" s="65">
        <f>'Total Price List'!J131</f>
        <v>30.525000000000002</v>
      </c>
    </row>
    <row r="128" spans="1:10" ht="12" customHeight="1" thickBot="1" x14ac:dyDescent="0.3">
      <c r="A128" s="84" t="str">
        <f>'Total Price List'!A132</f>
        <v>G Data</v>
      </c>
      <c r="B128" s="24">
        <f>'Total Price List'!B132</f>
        <v>20438</v>
      </c>
      <c r="C128" s="25"/>
      <c r="D128" s="25" t="str">
        <f>'Total Price List'!D132</f>
        <v>License 3Y GD CS BUS 1000+</v>
      </c>
      <c r="E128" s="25" t="str">
        <f>'Total Price List'!E132</f>
        <v>License 999 &lt; x &lt; 2500</v>
      </c>
      <c r="F128" s="24" t="str">
        <f>'Total Price List'!F132</f>
        <v>License</v>
      </c>
      <c r="G128" s="25" t="str">
        <f>'Total Price List'!G132</f>
        <v>G Data ClientSecurity Business</v>
      </c>
      <c r="H128" s="25" t="str">
        <f>'Total Price List'!H132</f>
        <v>network license 3 years</v>
      </c>
      <c r="I128" s="66">
        <f>'Total Price List'!I132</f>
        <v>27.225000000000001</v>
      </c>
      <c r="J128" s="67">
        <f>'Total Price List'!J132</f>
        <v>27.225000000000001</v>
      </c>
    </row>
    <row r="129" spans="1:10" ht="12" customHeight="1" x14ac:dyDescent="0.25">
      <c r="A129" s="99" t="str">
        <f>'Total Price List'!A133</f>
        <v>G Data ClientSecurity Business network license renewal</v>
      </c>
      <c r="B129" s="99"/>
      <c r="C129" s="99"/>
      <c r="D129" s="99"/>
      <c r="E129" s="99"/>
      <c r="F129" s="99"/>
      <c r="G129" s="99"/>
      <c r="H129" s="99"/>
      <c r="I129" s="99"/>
      <c r="J129" s="100"/>
    </row>
    <row r="130" spans="1:10" ht="12" customHeight="1" x14ac:dyDescent="0.25">
      <c r="A130" s="85" t="str">
        <f>'Total Price List'!A134</f>
        <v>G Data</v>
      </c>
      <c r="B130" s="7">
        <f>'Total Price List'!B134</f>
        <v>20461</v>
      </c>
      <c r="C130" s="6"/>
      <c r="D130" s="6" t="str">
        <f>'Total Price List'!D134</f>
        <v>Renewal 1Y GD CS BUS -9</v>
      </c>
      <c r="E130" s="6" t="str">
        <f>'Total Price List'!E134</f>
        <v>Renewal 4 &lt; x &lt; 10</v>
      </c>
      <c r="F130" s="7" t="str">
        <f>'Total Price List'!F134</f>
        <v>Renewal</v>
      </c>
      <c r="G130" s="6" t="str">
        <f>'Total Price List'!G134</f>
        <v>G Data ClientSecurity Business</v>
      </c>
      <c r="H130" s="6" t="str">
        <f>'Total Price List'!H134</f>
        <v>network license renewal 1 year</v>
      </c>
      <c r="I130" s="77">
        <f>'Total Price List'!I134</f>
        <v>22.000000000000004</v>
      </c>
      <c r="J130" s="72">
        <f>'Total Price List'!J134</f>
        <v>22.000000000000004</v>
      </c>
    </row>
    <row r="131" spans="1:10" ht="12" customHeight="1" x14ac:dyDescent="0.25">
      <c r="A131" s="85" t="str">
        <f>'Total Price List'!A135</f>
        <v>G Data</v>
      </c>
      <c r="B131" s="7">
        <f>'Total Price List'!B135</f>
        <v>20462</v>
      </c>
      <c r="C131" s="6"/>
      <c r="D131" s="6" t="str">
        <f>'Total Price List'!D135</f>
        <v>Renewal 1Y GD CS BUS 10+</v>
      </c>
      <c r="E131" s="6" t="str">
        <f>'Total Price List'!E135</f>
        <v>Renewal 9 &lt; x &lt; 25</v>
      </c>
      <c r="F131" s="7" t="str">
        <f>'Total Price List'!F135</f>
        <v>Renewal</v>
      </c>
      <c r="G131" s="6" t="str">
        <f>'Total Price List'!G135</f>
        <v>G Data ClientSecurity Business</v>
      </c>
      <c r="H131" s="6" t="str">
        <f>'Total Price List'!H135</f>
        <v>network license renewal 1 year</v>
      </c>
      <c r="I131" s="77">
        <f>'Total Price List'!I135</f>
        <v>21.560000000000002</v>
      </c>
      <c r="J131" s="72">
        <f>'Total Price List'!J135</f>
        <v>21.560000000000002</v>
      </c>
    </row>
    <row r="132" spans="1:10" ht="12" customHeight="1" x14ac:dyDescent="0.25">
      <c r="A132" s="85" t="str">
        <f>'Total Price List'!A136</f>
        <v>G Data</v>
      </c>
      <c r="B132" s="7">
        <f>'Total Price List'!B136</f>
        <v>20463</v>
      </c>
      <c r="C132" s="6"/>
      <c r="D132" s="6" t="str">
        <f>'Total Price List'!D136</f>
        <v>Renewal 1Y GD CS BUS 25+</v>
      </c>
      <c r="E132" s="6" t="str">
        <f>'Total Price List'!E136</f>
        <v>Renewal 24 &lt; x &lt; 50</v>
      </c>
      <c r="F132" s="7" t="str">
        <f>'Total Price List'!F136</f>
        <v>Renewal</v>
      </c>
      <c r="G132" s="6" t="str">
        <f>'Total Price List'!G136</f>
        <v>G Data ClientSecurity Business</v>
      </c>
      <c r="H132" s="6" t="str">
        <f>'Total Price List'!H136</f>
        <v>network license renewal 1 year</v>
      </c>
      <c r="I132" s="77">
        <f>'Total Price List'!I136</f>
        <v>18.128000000000004</v>
      </c>
      <c r="J132" s="72">
        <f>'Total Price List'!J136</f>
        <v>18.128000000000004</v>
      </c>
    </row>
    <row r="133" spans="1:10" ht="12" customHeight="1" x14ac:dyDescent="0.25">
      <c r="A133" s="85" t="str">
        <f>'Total Price List'!A137</f>
        <v>G Data</v>
      </c>
      <c r="B133" s="7">
        <f>'Total Price List'!B137</f>
        <v>20464</v>
      </c>
      <c r="C133" s="6"/>
      <c r="D133" s="6" t="str">
        <f>'Total Price List'!D137</f>
        <v>Renewal 1Y GD CS BUS 50+</v>
      </c>
      <c r="E133" s="6" t="str">
        <f>'Total Price List'!E137</f>
        <v>Renewal 49 &lt; x &lt; 100</v>
      </c>
      <c r="F133" s="7" t="str">
        <f>'Total Price List'!F137</f>
        <v>Renewal</v>
      </c>
      <c r="G133" s="6" t="str">
        <f>'Total Price List'!G137</f>
        <v>G Data ClientSecurity Business</v>
      </c>
      <c r="H133" s="6" t="str">
        <f>'Total Price List'!H137</f>
        <v>network license renewal 1 year</v>
      </c>
      <c r="I133" s="77">
        <f>'Total Price List'!I137</f>
        <v>16.984000000000005</v>
      </c>
      <c r="J133" s="72">
        <f>'Total Price List'!J137</f>
        <v>16.984000000000005</v>
      </c>
    </row>
    <row r="134" spans="1:10" ht="12" customHeight="1" x14ac:dyDescent="0.25">
      <c r="A134" s="85" t="str">
        <f>'Total Price List'!A138</f>
        <v>G Data</v>
      </c>
      <c r="B134" s="7">
        <f>'Total Price List'!B138</f>
        <v>20465</v>
      </c>
      <c r="C134" s="6"/>
      <c r="D134" s="6" t="str">
        <f>'Total Price List'!D138</f>
        <v>Renewal 1Y GD CS BUS 100+</v>
      </c>
      <c r="E134" s="6" t="str">
        <f>'Total Price List'!E138</f>
        <v>Renewal 99 &lt; x &lt; 250</v>
      </c>
      <c r="F134" s="7" t="str">
        <f>'Total Price List'!F138</f>
        <v>Renewal</v>
      </c>
      <c r="G134" s="6" t="str">
        <f>'Total Price List'!G138</f>
        <v>G Data ClientSecurity Business</v>
      </c>
      <c r="H134" s="6" t="str">
        <f>'Total Price List'!H138</f>
        <v>network license renewal 1 year</v>
      </c>
      <c r="I134" s="77">
        <f>'Total Price List'!I138</f>
        <v>13.772000000000004</v>
      </c>
      <c r="J134" s="72">
        <f>'Total Price List'!J138</f>
        <v>13.772000000000004</v>
      </c>
    </row>
    <row r="135" spans="1:10" ht="12" customHeight="1" x14ac:dyDescent="0.25">
      <c r="A135" s="85" t="str">
        <f>'Total Price List'!A139</f>
        <v>G Data</v>
      </c>
      <c r="B135" s="7">
        <f>'Total Price List'!B139</f>
        <v>20466</v>
      </c>
      <c r="C135" s="6"/>
      <c r="D135" s="6" t="str">
        <f>'Total Price List'!D139</f>
        <v>Renewal 1Y GD CS BUS 250+</v>
      </c>
      <c r="E135" s="6" t="str">
        <f>'Total Price List'!E139</f>
        <v>Renewal 249 &lt; x &lt; 500</v>
      </c>
      <c r="F135" s="7" t="str">
        <f>'Total Price List'!F139</f>
        <v>Renewal</v>
      </c>
      <c r="G135" s="6" t="str">
        <f>'Total Price List'!G139</f>
        <v>G Data ClientSecurity Business</v>
      </c>
      <c r="H135" s="6" t="str">
        <f>'Total Price List'!H139</f>
        <v>network license renewal 1 year</v>
      </c>
      <c r="I135" s="77">
        <f>'Total Price List'!I139</f>
        <v>10.788800000000002</v>
      </c>
      <c r="J135" s="72">
        <f>'Total Price List'!J139</f>
        <v>10.788800000000002</v>
      </c>
    </row>
    <row r="136" spans="1:10" ht="12" customHeight="1" x14ac:dyDescent="0.25">
      <c r="A136" s="85" t="str">
        <f>'Total Price List'!A140</f>
        <v>G Data</v>
      </c>
      <c r="B136" s="7">
        <f>'Total Price List'!B140</f>
        <v>20467</v>
      </c>
      <c r="C136" s="6"/>
      <c r="D136" s="6" t="str">
        <f>'Total Price List'!D140</f>
        <v>Renewal 1Y GD CS BUS 500+</v>
      </c>
      <c r="E136" s="6" t="str">
        <f>'Total Price List'!E140</f>
        <v>Renewal 499 &lt; x &lt; 1000</v>
      </c>
      <c r="F136" s="7" t="str">
        <f>'Total Price List'!F140</f>
        <v>Renewal</v>
      </c>
      <c r="G136" s="6" t="str">
        <f>'Total Price List'!G140</f>
        <v>G Data ClientSecurity Business</v>
      </c>
      <c r="H136" s="6" t="str">
        <f>'Total Price List'!H140</f>
        <v>network license renewal 1 year</v>
      </c>
      <c r="I136" s="77">
        <f>'Total Price List'!I140</f>
        <v>9.3544000000000018</v>
      </c>
      <c r="J136" s="72">
        <f>'Total Price List'!J140</f>
        <v>9.3544000000000018</v>
      </c>
    </row>
    <row r="137" spans="1:10" ht="12" customHeight="1" x14ac:dyDescent="0.25">
      <c r="A137" s="85" t="str">
        <f>'Total Price List'!A141</f>
        <v>G Data</v>
      </c>
      <c r="B137" s="7">
        <f>'Total Price List'!B141</f>
        <v>20468</v>
      </c>
      <c r="C137" s="6"/>
      <c r="D137" s="6" t="str">
        <f>'Total Price List'!D141</f>
        <v>Renewal 1Y GD CS BUS 1000+</v>
      </c>
      <c r="E137" s="6" t="str">
        <f>'Total Price List'!E141</f>
        <v>Renewal 999 &lt; x &lt; 2500</v>
      </c>
      <c r="F137" s="7" t="str">
        <f>'Total Price List'!F141</f>
        <v>Renewal</v>
      </c>
      <c r="G137" s="6" t="str">
        <f>'Total Price List'!G141</f>
        <v>G Data ClientSecurity Business</v>
      </c>
      <c r="H137" s="6" t="str">
        <f>'Total Price List'!H141</f>
        <v>network license renewal 1 year</v>
      </c>
      <c r="I137" s="77">
        <f>'Total Price List'!I141</f>
        <v>8.0080000000000009</v>
      </c>
      <c r="J137" s="72">
        <f>'Total Price List'!J141</f>
        <v>8.0080000000000009</v>
      </c>
    </row>
    <row r="138" spans="1:10" ht="12" customHeight="1" x14ac:dyDescent="0.25">
      <c r="A138" s="85" t="str">
        <f>'Total Price List'!A142</f>
        <v>G Data</v>
      </c>
      <c r="B138" s="7">
        <f>'Total Price List'!B142</f>
        <v>20471</v>
      </c>
      <c r="C138" s="6"/>
      <c r="D138" s="6" t="str">
        <f>'Total Price List'!D142</f>
        <v>Renewal 2Y GD CS BUS -9</v>
      </c>
      <c r="E138" s="6" t="str">
        <f>'Total Price List'!E142</f>
        <v>Renewal 4 &lt; x &lt; 10</v>
      </c>
      <c r="F138" s="7" t="str">
        <f>'Total Price List'!F142</f>
        <v>Renewal</v>
      </c>
      <c r="G138" s="6" t="str">
        <f>'Total Price List'!G142</f>
        <v>G Data ClientSecurity Business</v>
      </c>
      <c r="H138" s="6" t="str">
        <f>'Total Price List'!H142</f>
        <v>network license renewal 2 years</v>
      </c>
      <c r="I138" s="77">
        <f>'Total Price List'!I142</f>
        <v>38.500000000000007</v>
      </c>
      <c r="J138" s="72">
        <f>'Total Price List'!J142</f>
        <v>38.500000000000007</v>
      </c>
    </row>
    <row r="139" spans="1:10" ht="12" customHeight="1" x14ac:dyDescent="0.25">
      <c r="A139" s="85" t="str">
        <f>'Total Price List'!A143</f>
        <v>G Data</v>
      </c>
      <c r="B139" s="7">
        <f>'Total Price List'!B143</f>
        <v>20472</v>
      </c>
      <c r="C139" s="6"/>
      <c r="D139" s="6" t="str">
        <f>'Total Price List'!D143</f>
        <v>Renewal 2Y GD CS BUS 10+</v>
      </c>
      <c r="E139" s="6" t="str">
        <f>'Total Price List'!E143</f>
        <v>Renewal 9 &lt; x &lt; 25</v>
      </c>
      <c r="F139" s="7" t="str">
        <f>'Total Price List'!F143</f>
        <v>Renewal</v>
      </c>
      <c r="G139" s="6" t="str">
        <f>'Total Price List'!G143</f>
        <v>G Data ClientSecurity Business</v>
      </c>
      <c r="H139" s="6" t="str">
        <f>'Total Price List'!H143</f>
        <v>network license renewal 2 years</v>
      </c>
      <c r="I139" s="77">
        <f>'Total Price List'!I143</f>
        <v>37.730000000000004</v>
      </c>
      <c r="J139" s="72">
        <f>'Total Price List'!J143</f>
        <v>37.730000000000004</v>
      </c>
    </row>
    <row r="140" spans="1:10" ht="12" customHeight="1" x14ac:dyDescent="0.25">
      <c r="A140" s="85" t="str">
        <f>'Total Price List'!A144</f>
        <v>G Data</v>
      </c>
      <c r="B140" s="7">
        <f>'Total Price List'!B144</f>
        <v>20473</v>
      </c>
      <c r="C140" s="6"/>
      <c r="D140" s="6" t="str">
        <f>'Total Price List'!D144</f>
        <v>Renewal 2Y GD CS BUS 25+</v>
      </c>
      <c r="E140" s="6" t="str">
        <f>'Total Price List'!E144</f>
        <v>Renewal 24 &lt; x &lt; 50</v>
      </c>
      <c r="F140" s="7" t="str">
        <f>'Total Price List'!F144</f>
        <v>Renewal</v>
      </c>
      <c r="G140" s="6" t="str">
        <f>'Total Price List'!G144</f>
        <v>G Data ClientSecurity Business</v>
      </c>
      <c r="H140" s="6" t="str">
        <f>'Total Price List'!H144</f>
        <v>network license renewal 2 years</v>
      </c>
      <c r="I140" s="77">
        <f>'Total Price List'!I144</f>
        <v>31.724000000000007</v>
      </c>
      <c r="J140" s="72">
        <f>'Total Price List'!J144</f>
        <v>31.724000000000007</v>
      </c>
    </row>
    <row r="141" spans="1:10" ht="12" customHeight="1" x14ac:dyDescent="0.25">
      <c r="A141" s="85" t="str">
        <f>'Total Price List'!A145</f>
        <v>G Data</v>
      </c>
      <c r="B141" s="7">
        <f>'Total Price List'!B145</f>
        <v>20474</v>
      </c>
      <c r="C141" s="6"/>
      <c r="D141" s="6" t="str">
        <f>'Total Price List'!D145</f>
        <v>Renewal 2Y GD CS BUS 50+</v>
      </c>
      <c r="E141" s="6" t="str">
        <f>'Total Price List'!E145</f>
        <v>Renewal 49 &lt; x &lt; 100</v>
      </c>
      <c r="F141" s="7" t="str">
        <f>'Total Price List'!F145</f>
        <v>Renewal</v>
      </c>
      <c r="G141" s="6" t="str">
        <f>'Total Price List'!G145</f>
        <v>G Data ClientSecurity Business</v>
      </c>
      <c r="H141" s="6" t="str">
        <f>'Total Price List'!H145</f>
        <v>network license renewal 2 years</v>
      </c>
      <c r="I141" s="77">
        <f>'Total Price List'!I145</f>
        <v>29.722000000000005</v>
      </c>
      <c r="J141" s="72">
        <f>'Total Price List'!J145</f>
        <v>29.722000000000005</v>
      </c>
    </row>
    <row r="142" spans="1:10" ht="12" customHeight="1" x14ac:dyDescent="0.25">
      <c r="A142" s="85" t="str">
        <f>'Total Price List'!A146</f>
        <v>G Data</v>
      </c>
      <c r="B142" s="7">
        <f>'Total Price List'!B146</f>
        <v>20475</v>
      </c>
      <c r="C142" s="6"/>
      <c r="D142" s="6" t="str">
        <f>'Total Price List'!D146</f>
        <v>Renewal 2Y GD CS BUS 100+</v>
      </c>
      <c r="E142" s="6" t="str">
        <f>'Total Price List'!E146</f>
        <v>Renewal 99 &lt; x &lt; 250</v>
      </c>
      <c r="F142" s="7" t="str">
        <f>'Total Price List'!F146</f>
        <v>Renewal</v>
      </c>
      <c r="G142" s="6" t="str">
        <f>'Total Price List'!G146</f>
        <v>G Data ClientSecurity Business</v>
      </c>
      <c r="H142" s="6" t="str">
        <f>'Total Price List'!H146</f>
        <v>network license renewal 2 years</v>
      </c>
      <c r="I142" s="77">
        <f>'Total Price List'!I146</f>
        <v>24.101000000000003</v>
      </c>
      <c r="J142" s="72">
        <f>'Total Price List'!J146</f>
        <v>24.101000000000003</v>
      </c>
    </row>
    <row r="143" spans="1:10" ht="12" customHeight="1" x14ac:dyDescent="0.25">
      <c r="A143" s="85" t="str">
        <f>'Total Price List'!A147</f>
        <v>G Data</v>
      </c>
      <c r="B143" s="7">
        <f>'Total Price List'!B147</f>
        <v>20476</v>
      </c>
      <c r="C143" s="6"/>
      <c r="D143" s="6" t="str">
        <f>'Total Price List'!D147</f>
        <v>Renewal 2Y GD CS BUS 250+</v>
      </c>
      <c r="E143" s="6" t="str">
        <f>'Total Price List'!E147</f>
        <v>Renewal 249 &lt; x &lt; 500</v>
      </c>
      <c r="F143" s="7" t="str">
        <f>'Total Price List'!F147</f>
        <v>Renewal</v>
      </c>
      <c r="G143" s="6" t="str">
        <f>'Total Price List'!G147</f>
        <v>G Data ClientSecurity Business</v>
      </c>
      <c r="H143" s="6" t="str">
        <f>'Total Price List'!H147</f>
        <v>network license renewal 2 years</v>
      </c>
      <c r="I143" s="77">
        <f>'Total Price List'!I147</f>
        <v>18.880400000000002</v>
      </c>
      <c r="J143" s="72">
        <f>'Total Price List'!J147</f>
        <v>18.880400000000002</v>
      </c>
    </row>
    <row r="144" spans="1:10" ht="12" customHeight="1" x14ac:dyDescent="0.25">
      <c r="A144" s="85" t="str">
        <f>'Total Price List'!A148</f>
        <v>G Data</v>
      </c>
      <c r="B144" s="7">
        <f>'Total Price List'!B148</f>
        <v>20477</v>
      </c>
      <c r="C144" s="6"/>
      <c r="D144" s="6" t="str">
        <f>'Total Price List'!D148</f>
        <v>Renewal 2Y GD CS BUS 500+</v>
      </c>
      <c r="E144" s="6" t="str">
        <f>'Total Price List'!E148</f>
        <v>Renewal 499 &lt; x &lt; 1000</v>
      </c>
      <c r="F144" s="7" t="str">
        <f>'Total Price List'!F148</f>
        <v>Renewal</v>
      </c>
      <c r="G144" s="6" t="str">
        <f>'Total Price List'!G148</f>
        <v>G Data ClientSecurity Business</v>
      </c>
      <c r="H144" s="6" t="str">
        <f>'Total Price List'!H148</f>
        <v>network license renewal 2 years</v>
      </c>
      <c r="I144" s="77">
        <f>'Total Price List'!I148</f>
        <v>16.370200000000004</v>
      </c>
      <c r="J144" s="72">
        <f>'Total Price List'!J148</f>
        <v>16.370200000000004</v>
      </c>
    </row>
    <row r="145" spans="1:10" ht="12" customHeight="1" x14ac:dyDescent="0.25">
      <c r="A145" s="85" t="str">
        <f>'Total Price List'!A149</f>
        <v>G Data</v>
      </c>
      <c r="B145" s="7">
        <f>'Total Price List'!B149</f>
        <v>20478</v>
      </c>
      <c r="C145" s="6"/>
      <c r="D145" s="6" t="str">
        <f>'Total Price List'!D149</f>
        <v>Renewal 2Y GD CS BUS 1000+</v>
      </c>
      <c r="E145" s="6" t="str">
        <f>'Total Price List'!E149</f>
        <v>Renewal 999 &lt; x &lt; 2500</v>
      </c>
      <c r="F145" s="7" t="str">
        <f>'Total Price List'!F149</f>
        <v>Renewal</v>
      </c>
      <c r="G145" s="6" t="str">
        <f>'Total Price List'!G149</f>
        <v>G Data ClientSecurity Business</v>
      </c>
      <c r="H145" s="6" t="str">
        <f>'Total Price List'!H149</f>
        <v>network license renewal 2 years</v>
      </c>
      <c r="I145" s="77">
        <f>'Total Price List'!I149</f>
        <v>14.872</v>
      </c>
      <c r="J145" s="72">
        <f>'Total Price List'!J149</f>
        <v>14.872</v>
      </c>
    </row>
    <row r="146" spans="1:10" ht="12" customHeight="1" x14ac:dyDescent="0.25">
      <c r="A146" s="85" t="str">
        <f>'Total Price List'!A150</f>
        <v>G Data</v>
      </c>
      <c r="B146" s="7">
        <f>'Total Price List'!B150</f>
        <v>20481</v>
      </c>
      <c r="C146" s="6"/>
      <c r="D146" s="6" t="str">
        <f>'Total Price List'!D150</f>
        <v>Renewal 3Y GD CS BUS -9</v>
      </c>
      <c r="E146" s="6" t="str">
        <f>'Total Price List'!E150</f>
        <v>Renewal 4 &lt; x &lt; 10</v>
      </c>
      <c r="F146" s="7" t="str">
        <f>'Total Price List'!F150</f>
        <v>Renewal</v>
      </c>
      <c r="G146" s="6" t="str">
        <f>'Total Price List'!G150</f>
        <v>G Data ClientSecurity Business</v>
      </c>
      <c r="H146" s="6" t="str">
        <f>'Total Price List'!H150</f>
        <v>network license renewal 3 years</v>
      </c>
      <c r="I146" s="77">
        <f>'Total Price List'!I150</f>
        <v>55</v>
      </c>
      <c r="J146" s="72">
        <f>'Total Price List'!J150</f>
        <v>55</v>
      </c>
    </row>
    <row r="147" spans="1:10" ht="12" customHeight="1" x14ac:dyDescent="0.25">
      <c r="A147" s="85" t="str">
        <f>'Total Price List'!A151</f>
        <v>G Data</v>
      </c>
      <c r="B147" s="7">
        <f>'Total Price List'!B151</f>
        <v>20482</v>
      </c>
      <c r="C147" s="6"/>
      <c r="D147" s="6" t="str">
        <f>'Total Price List'!D151</f>
        <v>Renewal 3Y GD CS BUS 10+</v>
      </c>
      <c r="E147" s="6" t="str">
        <f>'Total Price List'!E151</f>
        <v>Renewal 9 &lt; x &lt; 25</v>
      </c>
      <c r="F147" s="7" t="str">
        <f>'Total Price List'!F151</f>
        <v>Renewal</v>
      </c>
      <c r="G147" s="6" t="str">
        <f>'Total Price List'!G151</f>
        <v>G Data ClientSecurity Business</v>
      </c>
      <c r="H147" s="6" t="str">
        <f>'Total Price List'!H151</f>
        <v>network license renewal 3 years</v>
      </c>
      <c r="I147" s="77">
        <f>'Total Price List'!I151</f>
        <v>53.900000000000006</v>
      </c>
      <c r="J147" s="72">
        <f>'Total Price List'!J151</f>
        <v>53.900000000000006</v>
      </c>
    </row>
    <row r="148" spans="1:10" ht="12" customHeight="1" x14ac:dyDescent="0.25">
      <c r="A148" s="85" t="str">
        <f>'Total Price List'!A152</f>
        <v>G Data</v>
      </c>
      <c r="B148" s="7">
        <f>'Total Price List'!B152</f>
        <v>20483</v>
      </c>
      <c r="C148" s="6"/>
      <c r="D148" s="6" t="str">
        <f>'Total Price List'!D152</f>
        <v>Renewal 3Y GD CS BUS 25+</v>
      </c>
      <c r="E148" s="6" t="str">
        <f>'Total Price List'!E152</f>
        <v>Renewal 24 &lt; x &lt; 50</v>
      </c>
      <c r="F148" s="7" t="str">
        <f>'Total Price List'!F152</f>
        <v>Renewal</v>
      </c>
      <c r="G148" s="6" t="str">
        <f>'Total Price List'!G152</f>
        <v>G Data ClientSecurity Business</v>
      </c>
      <c r="H148" s="6" t="str">
        <f>'Total Price List'!H152</f>
        <v>network license renewal 3 years</v>
      </c>
      <c r="I148" s="77">
        <f>'Total Price List'!I152</f>
        <v>45.320000000000007</v>
      </c>
      <c r="J148" s="72">
        <f>'Total Price List'!J152</f>
        <v>45.320000000000007</v>
      </c>
    </row>
    <row r="149" spans="1:10" ht="12" customHeight="1" x14ac:dyDescent="0.25">
      <c r="A149" s="85" t="str">
        <f>'Total Price List'!A153</f>
        <v>G Data</v>
      </c>
      <c r="B149" s="7">
        <f>'Total Price List'!B153</f>
        <v>20484</v>
      </c>
      <c r="C149" s="6"/>
      <c r="D149" s="6" t="str">
        <f>'Total Price List'!D153</f>
        <v>Renewal 3Y GD CS BUS 50+</v>
      </c>
      <c r="E149" s="6" t="str">
        <f>'Total Price List'!E153</f>
        <v>Renewal 49 &lt; x &lt; 100</v>
      </c>
      <c r="F149" s="7" t="str">
        <f>'Total Price List'!F153</f>
        <v>Renewal</v>
      </c>
      <c r="G149" s="6" t="str">
        <f>'Total Price List'!G153</f>
        <v>G Data ClientSecurity Business</v>
      </c>
      <c r="H149" s="6" t="str">
        <f>'Total Price List'!H153</f>
        <v>network license renewal 3 years</v>
      </c>
      <c r="I149" s="77">
        <f>'Total Price List'!I153</f>
        <v>42.460000000000008</v>
      </c>
      <c r="J149" s="72">
        <f>'Total Price List'!J153</f>
        <v>42.460000000000008</v>
      </c>
    </row>
    <row r="150" spans="1:10" ht="12" customHeight="1" x14ac:dyDescent="0.25">
      <c r="A150" s="85" t="str">
        <f>'Total Price List'!A154</f>
        <v>G Data</v>
      </c>
      <c r="B150" s="7">
        <f>'Total Price List'!B154</f>
        <v>20485</v>
      </c>
      <c r="C150" s="6"/>
      <c r="D150" s="6" t="str">
        <f>'Total Price List'!D154</f>
        <v>Renewal 3Y GD CS BUS 100+</v>
      </c>
      <c r="E150" s="6" t="str">
        <f>'Total Price List'!E154</f>
        <v>Renewal 99 &lt; x &lt; 250</v>
      </c>
      <c r="F150" s="7" t="str">
        <f>'Total Price List'!F154</f>
        <v>Renewal</v>
      </c>
      <c r="G150" s="6" t="str">
        <f>'Total Price List'!G154</f>
        <v>G Data ClientSecurity Business</v>
      </c>
      <c r="H150" s="6" t="str">
        <f>'Total Price List'!H154</f>
        <v>network license renewal 3 years</v>
      </c>
      <c r="I150" s="77">
        <f>'Total Price List'!I154</f>
        <v>34.43</v>
      </c>
      <c r="J150" s="72">
        <f>'Total Price List'!J154</f>
        <v>34.43</v>
      </c>
    </row>
    <row r="151" spans="1:10" ht="12" customHeight="1" x14ac:dyDescent="0.25">
      <c r="A151" s="85" t="str">
        <f>'Total Price List'!A155</f>
        <v>G Data</v>
      </c>
      <c r="B151" s="7">
        <f>'Total Price List'!B155</f>
        <v>20486</v>
      </c>
      <c r="C151" s="6"/>
      <c r="D151" s="6" t="str">
        <f>'Total Price List'!D155</f>
        <v>Renewal 3Y GD CS BUS 250+</v>
      </c>
      <c r="E151" s="6" t="str">
        <f>'Total Price List'!E155</f>
        <v>Renewal 249 &lt; x &lt; 500</v>
      </c>
      <c r="F151" s="7" t="str">
        <f>'Total Price List'!F155</f>
        <v>Renewal</v>
      </c>
      <c r="G151" s="6" t="str">
        <f>'Total Price List'!G155</f>
        <v>G Data ClientSecurity Business</v>
      </c>
      <c r="H151" s="6" t="str">
        <f>'Total Price List'!H155</f>
        <v>network license renewal 3 years</v>
      </c>
      <c r="I151" s="77">
        <f>'Total Price List'!I155</f>
        <v>26.972000000000005</v>
      </c>
      <c r="J151" s="72">
        <f>'Total Price List'!J155</f>
        <v>26.972000000000005</v>
      </c>
    </row>
    <row r="152" spans="1:10" ht="12" customHeight="1" x14ac:dyDescent="0.25">
      <c r="A152" s="85" t="str">
        <f>'Total Price List'!A156</f>
        <v>G Data</v>
      </c>
      <c r="B152" s="7">
        <f>'Total Price List'!B156</f>
        <v>20487</v>
      </c>
      <c r="C152" s="6"/>
      <c r="D152" s="6" t="str">
        <f>'Total Price List'!D156</f>
        <v>Renewal 3Y GD CS BUS 500+</v>
      </c>
      <c r="E152" s="6" t="str">
        <f>'Total Price List'!E156</f>
        <v>Renewal 499 &lt; x &lt; 1000</v>
      </c>
      <c r="F152" s="7" t="str">
        <f>'Total Price List'!F156</f>
        <v>Renewal</v>
      </c>
      <c r="G152" s="6" t="str">
        <f>'Total Price List'!G156</f>
        <v>G Data ClientSecurity Business</v>
      </c>
      <c r="H152" s="6" t="str">
        <f>'Total Price List'!H156</f>
        <v>network license renewal 3 years</v>
      </c>
      <c r="I152" s="77">
        <f>'Total Price List'!I156</f>
        <v>23.386000000000006</v>
      </c>
      <c r="J152" s="72">
        <f>'Total Price List'!J156</f>
        <v>23.386000000000006</v>
      </c>
    </row>
    <row r="153" spans="1:10" ht="12" customHeight="1" thickBot="1" x14ac:dyDescent="0.3">
      <c r="A153" s="86" t="str">
        <f>'Total Price List'!A157</f>
        <v>G Data</v>
      </c>
      <c r="B153" s="20">
        <f>'Total Price List'!B157</f>
        <v>20488</v>
      </c>
      <c r="C153" s="21"/>
      <c r="D153" s="21" t="str">
        <f>'Total Price List'!D157</f>
        <v>Renewal 3Y GD CS BUS 1000+</v>
      </c>
      <c r="E153" s="21" t="str">
        <f>'Total Price List'!E157</f>
        <v>Renewal 999 &lt; x &lt; 2500</v>
      </c>
      <c r="F153" s="20" t="str">
        <f>'Total Price List'!F157</f>
        <v>Renewal</v>
      </c>
      <c r="G153" s="21" t="str">
        <f>'Total Price List'!G157</f>
        <v>G Data ClientSecurity Business</v>
      </c>
      <c r="H153" s="21" t="str">
        <f>'Total Price List'!H157</f>
        <v>network license renewal 3 years</v>
      </c>
      <c r="I153" s="78">
        <f>'Total Price List'!I157</f>
        <v>20.020000000000003</v>
      </c>
      <c r="J153" s="73">
        <f>'Total Price List'!J157</f>
        <v>20.020000000000003</v>
      </c>
    </row>
    <row r="154" spans="1:10" ht="12" customHeight="1" x14ac:dyDescent="0.25">
      <c r="A154" s="99" t="str">
        <f>'Total Price List'!A158</f>
        <v>G Data ClientSecurity + MailSecurity + Backup network license</v>
      </c>
      <c r="B154" s="99"/>
      <c r="C154" s="99"/>
      <c r="D154" s="99"/>
      <c r="E154" s="99"/>
      <c r="F154" s="99"/>
      <c r="G154" s="99"/>
      <c r="H154" s="99"/>
      <c r="I154" s="99"/>
      <c r="J154" s="100"/>
    </row>
    <row r="155" spans="1:10" ht="12" customHeight="1" x14ac:dyDescent="0.25">
      <c r="A155" s="83" t="str">
        <f>'Total Price List'!A159</f>
        <v>G Data</v>
      </c>
      <c r="B155" s="4">
        <f>'Total Price List'!B159</f>
        <v>20511</v>
      </c>
      <c r="C155" s="3"/>
      <c r="D155" s="3" t="str">
        <f>'Total Price List'!D159</f>
        <v>License 1Y GD CS ENT -9</v>
      </c>
      <c r="E155" s="3" t="str">
        <f>'Total Price List'!E159</f>
        <v>License 4 &lt; x &lt; 10</v>
      </c>
      <c r="F155" s="4" t="str">
        <f>'Total Price List'!F159</f>
        <v>License</v>
      </c>
      <c r="G155" s="3" t="str">
        <f>'Total Price List'!G159</f>
        <v>G Data ClientSecurity + MailSecurity + Backup</v>
      </c>
      <c r="H155" s="3" t="str">
        <f>'Total Price List'!H159</f>
        <v>network license 1 year</v>
      </c>
      <c r="I155" s="64">
        <f>'Total Price List'!I159</f>
        <v>49.5</v>
      </c>
      <c r="J155" s="65">
        <f>'Total Price List'!J159</f>
        <v>49.5</v>
      </c>
    </row>
    <row r="156" spans="1:10" ht="12" customHeight="1" x14ac:dyDescent="0.25">
      <c r="A156" s="83" t="str">
        <f>'Total Price List'!A160</f>
        <v>G Data</v>
      </c>
      <c r="B156" s="4">
        <f>'Total Price List'!B160</f>
        <v>20512</v>
      </c>
      <c r="C156" s="3"/>
      <c r="D156" s="3" t="str">
        <f>'Total Price List'!D160</f>
        <v>License 1Y GD CS ENT 10+</v>
      </c>
      <c r="E156" s="3" t="str">
        <f>'Total Price List'!E160</f>
        <v>License 9 &lt; x &lt; 25</v>
      </c>
      <c r="F156" s="4" t="str">
        <f>'Total Price List'!F160</f>
        <v>License</v>
      </c>
      <c r="G156" s="3" t="str">
        <f>'Total Price List'!G160</f>
        <v>G Data ClientSecurity + MailSecurity + Backup</v>
      </c>
      <c r="H156" s="3" t="str">
        <f>'Total Price List'!H160</f>
        <v>network license 1 year</v>
      </c>
      <c r="I156" s="64">
        <f>'Total Price List'!I160</f>
        <v>41.580000000000005</v>
      </c>
      <c r="J156" s="65">
        <f>'Total Price List'!J160</f>
        <v>41.580000000000005</v>
      </c>
    </row>
    <row r="157" spans="1:10" ht="12" customHeight="1" x14ac:dyDescent="0.25">
      <c r="A157" s="83" t="str">
        <f>'Total Price List'!A161</f>
        <v>G Data</v>
      </c>
      <c r="B157" s="4">
        <f>'Total Price List'!B161</f>
        <v>20513</v>
      </c>
      <c r="C157" s="3"/>
      <c r="D157" s="3" t="str">
        <f>'Total Price List'!D161</f>
        <v>License 1Y GD CS ENT 25+</v>
      </c>
      <c r="E157" s="3" t="str">
        <f>'Total Price List'!E161</f>
        <v>License 24 &lt; x &lt; 50</v>
      </c>
      <c r="F157" s="4" t="str">
        <f>'Total Price List'!F161</f>
        <v>License</v>
      </c>
      <c r="G157" s="3" t="str">
        <f>'Total Price List'!G161</f>
        <v>G Data ClientSecurity + MailSecurity + Backup</v>
      </c>
      <c r="H157" s="3" t="str">
        <f>'Total Price List'!H161</f>
        <v>network license 1 year</v>
      </c>
      <c r="I157" s="64">
        <f>'Total Price List'!I161</f>
        <v>33.164999999999999</v>
      </c>
      <c r="J157" s="65">
        <f>'Total Price List'!J161</f>
        <v>33.164999999999999</v>
      </c>
    </row>
    <row r="158" spans="1:10" ht="12" customHeight="1" x14ac:dyDescent="0.25">
      <c r="A158" s="83" t="str">
        <f>'Total Price List'!A162</f>
        <v>G Data</v>
      </c>
      <c r="B158" s="4">
        <f>'Total Price List'!B162</f>
        <v>20514</v>
      </c>
      <c r="C158" s="3"/>
      <c r="D158" s="3" t="str">
        <f>'Total Price List'!D162</f>
        <v>License 1Y GD CS ENT 50+</v>
      </c>
      <c r="E158" s="3" t="str">
        <f>'Total Price List'!E162</f>
        <v>License 49 &lt; x &lt; 100</v>
      </c>
      <c r="F158" s="4" t="str">
        <f>'Total Price List'!F162</f>
        <v>License</v>
      </c>
      <c r="G158" s="3" t="str">
        <f>'Total Price List'!G162</f>
        <v>G Data ClientSecurity + MailSecurity + Backup</v>
      </c>
      <c r="H158" s="3" t="str">
        <f>'Total Price List'!H162</f>
        <v>network license 1 year</v>
      </c>
      <c r="I158" s="64">
        <f>'Total Price List'!I162</f>
        <v>25.740000000000002</v>
      </c>
      <c r="J158" s="65">
        <f>'Total Price List'!J162</f>
        <v>25.740000000000002</v>
      </c>
    </row>
    <row r="159" spans="1:10" ht="12" customHeight="1" x14ac:dyDescent="0.25">
      <c r="A159" s="83" t="str">
        <f>'Total Price List'!A163</f>
        <v>G Data</v>
      </c>
      <c r="B159" s="4">
        <f>'Total Price List'!B163</f>
        <v>20515</v>
      </c>
      <c r="C159" s="3"/>
      <c r="D159" s="3" t="str">
        <f>'Total Price List'!D163</f>
        <v>License 1Y GD CS ENT 100+</v>
      </c>
      <c r="E159" s="3" t="str">
        <f>'Total Price List'!E163</f>
        <v>License 99 &lt; x &lt; 250</v>
      </c>
      <c r="F159" s="4" t="str">
        <f>'Total Price List'!F163</f>
        <v>License</v>
      </c>
      <c r="G159" s="3" t="str">
        <f>'Total Price List'!G163</f>
        <v>G Data ClientSecurity + MailSecurity + Backup</v>
      </c>
      <c r="H159" s="3" t="str">
        <f>'Total Price List'!H163</f>
        <v>network license 1 year</v>
      </c>
      <c r="I159" s="64">
        <f>'Total Price List'!I163</f>
        <v>22.77</v>
      </c>
      <c r="J159" s="65">
        <f>'Total Price List'!J163</f>
        <v>22.77</v>
      </c>
    </row>
    <row r="160" spans="1:10" ht="12" customHeight="1" x14ac:dyDescent="0.25">
      <c r="A160" s="83" t="str">
        <f>'Total Price List'!A164</f>
        <v>G Data</v>
      </c>
      <c r="B160" s="4">
        <f>'Total Price List'!B164</f>
        <v>20516</v>
      </c>
      <c r="C160" s="3"/>
      <c r="D160" s="3" t="str">
        <f>'Total Price List'!D164</f>
        <v>License 1Y GD CS ENT 250+</v>
      </c>
      <c r="E160" s="3" t="str">
        <f>'Total Price List'!E164</f>
        <v>License 249 &lt; x &lt; 500</v>
      </c>
      <c r="F160" s="4" t="str">
        <f>'Total Price List'!F164</f>
        <v>License</v>
      </c>
      <c r="G160" s="3" t="str">
        <f>'Total Price List'!G164</f>
        <v>G Data ClientSecurity + MailSecurity + Backup</v>
      </c>
      <c r="H160" s="3" t="str">
        <f>'Total Price List'!H164</f>
        <v>network license 1 year</v>
      </c>
      <c r="I160" s="64">
        <f>'Total Price List'!I164</f>
        <v>19.799999999999997</v>
      </c>
      <c r="J160" s="65">
        <f>'Total Price List'!J164</f>
        <v>19.799999999999997</v>
      </c>
    </row>
    <row r="161" spans="1:10" ht="12" customHeight="1" x14ac:dyDescent="0.25">
      <c r="A161" s="83" t="str">
        <f>'Total Price List'!A165</f>
        <v>G Data</v>
      </c>
      <c r="B161" s="4">
        <f>'Total Price List'!B165</f>
        <v>20517</v>
      </c>
      <c r="C161" s="3"/>
      <c r="D161" s="3" t="str">
        <f>'Total Price List'!D165</f>
        <v>License 1Y GD CS ENT 500+</v>
      </c>
      <c r="E161" s="3" t="str">
        <f>'Total Price List'!E165</f>
        <v>License 499 &lt; x &lt; 1000</v>
      </c>
      <c r="F161" s="4" t="str">
        <f>'Total Price List'!F165</f>
        <v>License</v>
      </c>
      <c r="G161" s="3" t="str">
        <f>'Total Price List'!G165</f>
        <v>G Data ClientSecurity + MailSecurity + Backup</v>
      </c>
      <c r="H161" s="3" t="str">
        <f>'Total Price List'!H165</f>
        <v>network license 1 year</v>
      </c>
      <c r="I161" s="64">
        <f>'Total Price List'!I165</f>
        <v>17.82</v>
      </c>
      <c r="J161" s="65">
        <f>'Total Price List'!J165</f>
        <v>17.82</v>
      </c>
    </row>
    <row r="162" spans="1:10" ht="12" customHeight="1" x14ac:dyDescent="0.25">
      <c r="A162" s="83" t="str">
        <f>'Total Price List'!A166</f>
        <v>G Data</v>
      </c>
      <c r="B162" s="4">
        <f>'Total Price List'!B166</f>
        <v>20518</v>
      </c>
      <c r="C162" s="3"/>
      <c r="D162" s="3" t="str">
        <f>'Total Price List'!D166</f>
        <v>License 1Y GD CS ENT 1000+</v>
      </c>
      <c r="E162" s="3" t="str">
        <f>'Total Price List'!E166</f>
        <v>License 999 &lt; x &lt; 2500</v>
      </c>
      <c r="F162" s="4" t="str">
        <f>'Total Price List'!F166</f>
        <v>License</v>
      </c>
      <c r="G162" s="3" t="str">
        <f>'Total Price List'!G166</f>
        <v>G Data ClientSecurity + MailSecurity + Backup</v>
      </c>
      <c r="H162" s="3" t="str">
        <f>'Total Price List'!H166</f>
        <v>network license 1 year</v>
      </c>
      <c r="I162" s="64">
        <f>'Total Price List'!I166</f>
        <v>15.84</v>
      </c>
      <c r="J162" s="65">
        <f>'Total Price List'!J166</f>
        <v>15.84</v>
      </c>
    </row>
    <row r="163" spans="1:10" ht="12" customHeight="1" x14ac:dyDescent="0.25">
      <c r="A163" s="83" t="str">
        <f>'Total Price List'!A167</f>
        <v>G Data</v>
      </c>
      <c r="B163" s="4">
        <f>'Total Price List'!B167</f>
        <v>20521</v>
      </c>
      <c r="C163" s="3"/>
      <c r="D163" s="3" t="str">
        <f>'Total Price List'!D167</f>
        <v>License 2Y GD CS ENT -9</v>
      </c>
      <c r="E163" s="3" t="str">
        <f>'Total Price List'!E167</f>
        <v>License 4 &lt; x &lt; 10</v>
      </c>
      <c r="F163" s="4" t="str">
        <f>'Total Price List'!F167</f>
        <v>License</v>
      </c>
      <c r="G163" s="3" t="str">
        <f>'Total Price List'!G167</f>
        <v>G Data ClientSecurity + MailSecurity + Backup</v>
      </c>
      <c r="H163" s="3" t="str">
        <f>'Total Price List'!H167</f>
        <v>network license 2 years</v>
      </c>
      <c r="I163" s="64">
        <f>'Total Price List'!I167</f>
        <v>69.3</v>
      </c>
      <c r="J163" s="65">
        <f>'Total Price List'!J167</f>
        <v>69.3</v>
      </c>
    </row>
    <row r="164" spans="1:10" ht="12" customHeight="1" x14ac:dyDescent="0.25">
      <c r="A164" s="83" t="str">
        <f>'Total Price List'!A168</f>
        <v>G Data</v>
      </c>
      <c r="B164" s="4">
        <f>'Total Price List'!B168</f>
        <v>20522</v>
      </c>
      <c r="C164" s="3"/>
      <c r="D164" s="3" t="str">
        <f>'Total Price List'!D168</f>
        <v>License 2Y GD CS ENT 10+</v>
      </c>
      <c r="E164" s="3" t="str">
        <f>'Total Price List'!E168</f>
        <v>License 9 &lt; x &lt; 25</v>
      </c>
      <c r="F164" s="4" t="str">
        <f>'Total Price List'!F168</f>
        <v>License</v>
      </c>
      <c r="G164" s="3" t="str">
        <f>'Total Price List'!G168</f>
        <v>G Data ClientSecurity + MailSecurity + Backup</v>
      </c>
      <c r="H164" s="3" t="str">
        <f>'Total Price List'!H168</f>
        <v>network license 2 years</v>
      </c>
      <c r="I164" s="64">
        <f>'Total Price List'!I168</f>
        <v>61.38</v>
      </c>
      <c r="J164" s="65">
        <f>'Total Price List'!J168</f>
        <v>61.38</v>
      </c>
    </row>
    <row r="165" spans="1:10" ht="12" customHeight="1" x14ac:dyDescent="0.25">
      <c r="A165" s="83" t="str">
        <f>'Total Price List'!A169</f>
        <v>G Data</v>
      </c>
      <c r="B165" s="4">
        <f>'Total Price List'!B169</f>
        <v>20523</v>
      </c>
      <c r="C165" s="3"/>
      <c r="D165" s="3" t="str">
        <f>'Total Price List'!D169</f>
        <v>License 2Y GD CS ENT 25+</v>
      </c>
      <c r="E165" s="3" t="str">
        <f>'Total Price List'!E169</f>
        <v>License 24 &lt; x &lt; 50</v>
      </c>
      <c r="F165" s="4" t="str">
        <f>'Total Price List'!F169</f>
        <v>License</v>
      </c>
      <c r="G165" s="3" t="str">
        <f>'Total Price List'!G169</f>
        <v>G Data ClientSecurity + MailSecurity + Backup</v>
      </c>
      <c r="H165" s="3" t="str">
        <f>'Total Price List'!H169</f>
        <v>network license 2 years</v>
      </c>
      <c r="I165" s="64">
        <f>'Total Price List'!I169</f>
        <v>47.519999999999996</v>
      </c>
      <c r="J165" s="65">
        <f>'Total Price List'!J169</f>
        <v>47.519999999999996</v>
      </c>
    </row>
    <row r="166" spans="1:10" ht="12" customHeight="1" x14ac:dyDescent="0.25">
      <c r="A166" s="83" t="str">
        <f>'Total Price List'!A170</f>
        <v>G Data</v>
      </c>
      <c r="B166" s="4">
        <f>'Total Price List'!B170</f>
        <v>20524</v>
      </c>
      <c r="C166" s="3"/>
      <c r="D166" s="3" t="str">
        <f>'Total Price List'!D170</f>
        <v>License 2Y GD CS ENT 50+</v>
      </c>
      <c r="E166" s="3" t="str">
        <f>'Total Price List'!E170</f>
        <v>License 49 &lt; x &lt; 100</v>
      </c>
      <c r="F166" s="4" t="str">
        <f>'Total Price List'!F170</f>
        <v>License</v>
      </c>
      <c r="G166" s="3" t="str">
        <f>'Total Price List'!G170</f>
        <v>G Data ClientSecurity + MailSecurity + Backup</v>
      </c>
      <c r="H166" s="3" t="str">
        <f>'Total Price List'!H170</f>
        <v>network license 2 years</v>
      </c>
      <c r="I166" s="64">
        <f>'Total Price List'!I170</f>
        <v>39.599999999999994</v>
      </c>
      <c r="J166" s="65">
        <f>'Total Price List'!J170</f>
        <v>39.599999999999994</v>
      </c>
    </row>
    <row r="167" spans="1:10" ht="12" customHeight="1" x14ac:dyDescent="0.25">
      <c r="A167" s="83" t="str">
        <f>'Total Price List'!A171</f>
        <v>G Data</v>
      </c>
      <c r="B167" s="4">
        <f>'Total Price List'!B171</f>
        <v>20525</v>
      </c>
      <c r="C167" s="3"/>
      <c r="D167" s="3" t="str">
        <f>'Total Price List'!D171</f>
        <v>License 2Y GD CS ENT 100+</v>
      </c>
      <c r="E167" s="3" t="str">
        <f>'Total Price List'!E171</f>
        <v>License 99 &lt; x &lt; 250</v>
      </c>
      <c r="F167" s="4" t="str">
        <f>'Total Price List'!F171</f>
        <v>License</v>
      </c>
      <c r="G167" s="3" t="str">
        <f>'Total Price List'!G171</f>
        <v>G Data ClientSecurity + MailSecurity + Backup</v>
      </c>
      <c r="H167" s="3" t="str">
        <f>'Total Price List'!H171</f>
        <v>network license 2 years</v>
      </c>
      <c r="I167" s="64">
        <f>'Total Price List'!I171</f>
        <v>34.65</v>
      </c>
      <c r="J167" s="65">
        <f>'Total Price List'!J171</f>
        <v>34.65</v>
      </c>
    </row>
    <row r="168" spans="1:10" ht="12" customHeight="1" x14ac:dyDescent="0.25">
      <c r="A168" s="83" t="str">
        <f>'Total Price List'!A172</f>
        <v>G Data</v>
      </c>
      <c r="B168" s="4">
        <f>'Total Price List'!B172</f>
        <v>20526</v>
      </c>
      <c r="C168" s="3"/>
      <c r="D168" s="3" t="str">
        <f>'Total Price List'!D172</f>
        <v>License 2Y GD CS ENT 250+</v>
      </c>
      <c r="E168" s="3" t="str">
        <f>'Total Price List'!E172</f>
        <v>License 249 &lt; x &lt; 500</v>
      </c>
      <c r="F168" s="4" t="str">
        <f>'Total Price List'!F172</f>
        <v>License</v>
      </c>
      <c r="G168" s="3" t="str">
        <f>'Total Price List'!G172</f>
        <v>G Data ClientSecurity + MailSecurity + Backup</v>
      </c>
      <c r="H168" s="3" t="str">
        <f>'Total Price List'!H172</f>
        <v>network license 2 years</v>
      </c>
      <c r="I168" s="64">
        <f>'Total Price List'!I172</f>
        <v>29.700000000000003</v>
      </c>
      <c r="J168" s="65">
        <f>'Total Price List'!J172</f>
        <v>29.700000000000003</v>
      </c>
    </row>
    <row r="169" spans="1:10" ht="12" customHeight="1" x14ac:dyDescent="0.25">
      <c r="A169" s="83" t="str">
        <f>'Total Price List'!A173</f>
        <v>G Data</v>
      </c>
      <c r="B169" s="4">
        <f>'Total Price List'!B173</f>
        <v>20527</v>
      </c>
      <c r="C169" s="3"/>
      <c r="D169" s="3" t="str">
        <f>'Total Price List'!D173</f>
        <v>License 2Y GD CS ENT 500+</v>
      </c>
      <c r="E169" s="3" t="str">
        <f>'Total Price List'!E173</f>
        <v>License 499 &lt; x &lt; 1000</v>
      </c>
      <c r="F169" s="4" t="str">
        <f>'Total Price List'!F173</f>
        <v>License</v>
      </c>
      <c r="G169" s="3" t="str">
        <f>'Total Price List'!G173</f>
        <v>G Data ClientSecurity + MailSecurity + Backup</v>
      </c>
      <c r="H169" s="3" t="str">
        <f>'Total Price List'!H173</f>
        <v>network license 2 years</v>
      </c>
      <c r="I169" s="64">
        <f>'Total Price List'!I173</f>
        <v>26.73</v>
      </c>
      <c r="J169" s="65">
        <f>'Total Price List'!J173</f>
        <v>26.73</v>
      </c>
    </row>
    <row r="170" spans="1:10" ht="12" customHeight="1" x14ac:dyDescent="0.25">
      <c r="A170" s="83" t="str">
        <f>'Total Price List'!A174</f>
        <v>G Data</v>
      </c>
      <c r="B170" s="4">
        <f>'Total Price List'!B174</f>
        <v>20528</v>
      </c>
      <c r="C170" s="3"/>
      <c r="D170" s="3" t="str">
        <f>'Total Price List'!D174</f>
        <v>License 2Y GD CS ENT 1000+</v>
      </c>
      <c r="E170" s="3" t="str">
        <f>'Total Price List'!E174</f>
        <v>License 999 &lt; x &lt; 2500</v>
      </c>
      <c r="F170" s="4" t="str">
        <f>'Total Price List'!F174</f>
        <v>License</v>
      </c>
      <c r="G170" s="3" t="str">
        <f>'Total Price List'!G174</f>
        <v>G Data ClientSecurity + MailSecurity + Backup</v>
      </c>
      <c r="H170" s="3" t="str">
        <f>'Total Price List'!H174</f>
        <v>network license 2 years</v>
      </c>
      <c r="I170" s="64">
        <f>'Total Price List'!I174</f>
        <v>24.75</v>
      </c>
      <c r="J170" s="65">
        <f>'Total Price List'!J174</f>
        <v>24.75</v>
      </c>
    </row>
    <row r="171" spans="1:10" ht="12" customHeight="1" x14ac:dyDescent="0.25">
      <c r="A171" s="83" t="str">
        <f>'Total Price List'!A175</f>
        <v>G Data</v>
      </c>
      <c r="B171" s="4">
        <f>'Total Price List'!B175</f>
        <v>20531</v>
      </c>
      <c r="C171" s="3"/>
      <c r="D171" s="3" t="str">
        <f>'Total Price List'!D175</f>
        <v>License 3Y GD CS ENT -9</v>
      </c>
      <c r="E171" s="3" t="str">
        <f>'Total Price List'!E175</f>
        <v>License 4 &lt; x &lt; 10</v>
      </c>
      <c r="F171" s="4" t="str">
        <f>'Total Price List'!F175</f>
        <v>License</v>
      </c>
      <c r="G171" s="3" t="str">
        <f>'Total Price List'!G175</f>
        <v>G Data ClientSecurity + MailSecurity + Backup</v>
      </c>
      <c r="H171" s="3" t="str">
        <f>'Total Price List'!H175</f>
        <v>network license 3 years</v>
      </c>
      <c r="I171" s="64">
        <f>'Total Price List'!I175</f>
        <v>88.11</v>
      </c>
      <c r="J171" s="65">
        <f>'Total Price List'!J175</f>
        <v>88.11</v>
      </c>
    </row>
    <row r="172" spans="1:10" ht="12" customHeight="1" x14ac:dyDescent="0.25">
      <c r="A172" s="83" t="str">
        <f>'Total Price List'!A176</f>
        <v>G Data</v>
      </c>
      <c r="B172" s="4">
        <f>'Total Price List'!B176</f>
        <v>20532</v>
      </c>
      <c r="C172" s="3"/>
      <c r="D172" s="3" t="str">
        <f>'Total Price List'!D176</f>
        <v>License 3Y GD CS ENT 10+</v>
      </c>
      <c r="E172" s="3" t="str">
        <f>'Total Price List'!E176</f>
        <v>License 9 &lt; x &lt; 25</v>
      </c>
      <c r="F172" s="4" t="str">
        <f>'Total Price List'!F176</f>
        <v>License</v>
      </c>
      <c r="G172" s="3" t="str">
        <f>'Total Price List'!G176</f>
        <v>G Data ClientSecurity + MailSecurity + Backup</v>
      </c>
      <c r="H172" s="3" t="str">
        <f>'Total Price List'!H176</f>
        <v>network license 3 years</v>
      </c>
      <c r="I172" s="64">
        <f>'Total Price List'!I176</f>
        <v>78.210000000000008</v>
      </c>
      <c r="J172" s="65">
        <f>'Total Price List'!J176</f>
        <v>78.210000000000008</v>
      </c>
    </row>
    <row r="173" spans="1:10" ht="12" customHeight="1" x14ac:dyDescent="0.25">
      <c r="A173" s="83" t="str">
        <f>'Total Price List'!A177</f>
        <v>G Data</v>
      </c>
      <c r="B173" s="4">
        <f>'Total Price List'!B177</f>
        <v>20533</v>
      </c>
      <c r="C173" s="3"/>
      <c r="D173" s="3" t="str">
        <f>'Total Price List'!D177</f>
        <v>License 3Y GD CS ENT 25+</v>
      </c>
      <c r="E173" s="3" t="str">
        <f>'Total Price List'!E177</f>
        <v>License 24 &lt; x &lt; 50</v>
      </c>
      <c r="F173" s="4" t="str">
        <f>'Total Price List'!F177</f>
        <v>License</v>
      </c>
      <c r="G173" s="3" t="str">
        <f>'Total Price List'!G177</f>
        <v>G Data ClientSecurity + MailSecurity + Backup</v>
      </c>
      <c r="H173" s="3" t="str">
        <f>'Total Price List'!H177</f>
        <v>network license 3 years</v>
      </c>
      <c r="I173" s="64">
        <f>'Total Price List'!I177</f>
        <v>67.320000000000007</v>
      </c>
      <c r="J173" s="65">
        <f>'Total Price List'!J177</f>
        <v>67.320000000000007</v>
      </c>
    </row>
    <row r="174" spans="1:10" ht="12" customHeight="1" x14ac:dyDescent="0.25">
      <c r="A174" s="83" t="str">
        <f>'Total Price List'!A178</f>
        <v>G Data</v>
      </c>
      <c r="B174" s="4">
        <f>'Total Price List'!B178</f>
        <v>20534</v>
      </c>
      <c r="C174" s="3"/>
      <c r="D174" s="3" t="str">
        <f>'Total Price List'!D178</f>
        <v>License 3Y GD CS ENT 50+</v>
      </c>
      <c r="E174" s="3" t="str">
        <f>'Total Price List'!E178</f>
        <v>License 49 &lt; x &lt; 100</v>
      </c>
      <c r="F174" s="4" t="str">
        <f>'Total Price List'!F178</f>
        <v>License</v>
      </c>
      <c r="G174" s="3" t="str">
        <f>'Total Price List'!G178</f>
        <v>G Data ClientSecurity + MailSecurity + Backup</v>
      </c>
      <c r="H174" s="3" t="str">
        <f>'Total Price List'!H178</f>
        <v>network license 3 years</v>
      </c>
      <c r="I174" s="64">
        <f>'Total Price List'!I178</f>
        <v>57.42</v>
      </c>
      <c r="J174" s="65">
        <f>'Total Price List'!J178</f>
        <v>57.42</v>
      </c>
    </row>
    <row r="175" spans="1:10" ht="12" customHeight="1" x14ac:dyDescent="0.25">
      <c r="A175" s="83" t="str">
        <f>'Total Price List'!A179</f>
        <v>G Data</v>
      </c>
      <c r="B175" s="4">
        <f>'Total Price List'!B179</f>
        <v>20535</v>
      </c>
      <c r="C175" s="3"/>
      <c r="D175" s="3" t="str">
        <f>'Total Price List'!D179</f>
        <v>License 3Y GD CS ENT 100+</v>
      </c>
      <c r="E175" s="3" t="str">
        <f>'Total Price List'!E179</f>
        <v>License 99 &lt; x &lt; 250</v>
      </c>
      <c r="F175" s="4" t="str">
        <f>'Total Price List'!F179</f>
        <v>License</v>
      </c>
      <c r="G175" s="3" t="str">
        <f>'Total Price List'!G179</f>
        <v>G Data ClientSecurity + MailSecurity + Backup</v>
      </c>
      <c r="H175" s="3" t="str">
        <f>'Total Price List'!H179</f>
        <v>network license 3 years</v>
      </c>
      <c r="I175" s="64">
        <f>'Total Price List'!I179</f>
        <v>48.510000000000005</v>
      </c>
      <c r="J175" s="65">
        <f>'Total Price List'!J179</f>
        <v>48.510000000000005</v>
      </c>
    </row>
    <row r="176" spans="1:10" ht="12" customHeight="1" x14ac:dyDescent="0.25">
      <c r="A176" s="83" t="str">
        <f>'Total Price List'!A180</f>
        <v>G Data</v>
      </c>
      <c r="B176" s="4">
        <f>'Total Price List'!B180</f>
        <v>20536</v>
      </c>
      <c r="C176" s="3"/>
      <c r="D176" s="3" t="str">
        <f>'Total Price List'!D180</f>
        <v>License 3Y GD CS ENT 250+</v>
      </c>
      <c r="E176" s="3" t="str">
        <f>'Total Price List'!E180</f>
        <v>License 249 &lt; x &lt; 500</v>
      </c>
      <c r="F176" s="4" t="str">
        <f>'Total Price List'!F180</f>
        <v>License</v>
      </c>
      <c r="G176" s="3" t="str">
        <f>'Total Price List'!G180</f>
        <v>G Data ClientSecurity + MailSecurity + Backup</v>
      </c>
      <c r="H176" s="3" t="str">
        <f>'Total Price List'!H180</f>
        <v>network license 3 years</v>
      </c>
      <c r="I176" s="64">
        <f>'Total Price List'!I180</f>
        <v>40.589999999999996</v>
      </c>
      <c r="J176" s="65">
        <f>'Total Price List'!J180</f>
        <v>40.589999999999996</v>
      </c>
    </row>
    <row r="177" spans="1:10" ht="12" customHeight="1" x14ac:dyDescent="0.25">
      <c r="A177" s="83" t="str">
        <f>'Total Price List'!A181</f>
        <v>G Data</v>
      </c>
      <c r="B177" s="4">
        <f>'Total Price List'!B181</f>
        <v>20537</v>
      </c>
      <c r="C177" s="3"/>
      <c r="D177" s="3" t="str">
        <f>'Total Price List'!D181</f>
        <v>License 3Y GD CS ENT 500+</v>
      </c>
      <c r="E177" s="3" t="str">
        <f>'Total Price List'!E181</f>
        <v>License 499 &lt; x &lt; 1000</v>
      </c>
      <c r="F177" s="4" t="str">
        <f>'Total Price List'!F181</f>
        <v>License</v>
      </c>
      <c r="G177" s="3" t="str">
        <f>'Total Price List'!G181</f>
        <v>G Data ClientSecurity + MailSecurity + Backup</v>
      </c>
      <c r="H177" s="3" t="str">
        <f>'Total Price List'!H181</f>
        <v>network license 3 years</v>
      </c>
      <c r="I177" s="64">
        <f>'Total Price List'!I181</f>
        <v>36.630000000000003</v>
      </c>
      <c r="J177" s="65">
        <f>'Total Price List'!J181</f>
        <v>36.630000000000003</v>
      </c>
    </row>
    <row r="178" spans="1:10" ht="12" customHeight="1" thickBot="1" x14ac:dyDescent="0.3">
      <c r="A178" s="84" t="str">
        <f>'Total Price List'!A182</f>
        <v>G Data</v>
      </c>
      <c r="B178" s="24">
        <f>'Total Price List'!B182</f>
        <v>20538</v>
      </c>
      <c r="C178" s="25"/>
      <c r="D178" s="25" t="str">
        <f>'Total Price List'!D182</f>
        <v>License 3Y GD CS ENT 1000+</v>
      </c>
      <c r="E178" s="25" t="str">
        <f>'Total Price List'!E182</f>
        <v>License 999 &lt; x &lt; 2500</v>
      </c>
      <c r="F178" s="24" t="str">
        <f>'Total Price List'!F182</f>
        <v>License</v>
      </c>
      <c r="G178" s="25" t="str">
        <f>'Total Price List'!G182</f>
        <v>G Data ClientSecurity + MailSecurity + Backup</v>
      </c>
      <c r="H178" s="25" t="str">
        <f>'Total Price List'!H182</f>
        <v>network license 3 years</v>
      </c>
      <c r="I178" s="66">
        <f>'Total Price List'!I182</f>
        <v>32.67</v>
      </c>
      <c r="J178" s="67">
        <f>'Total Price List'!J182</f>
        <v>32.67</v>
      </c>
    </row>
    <row r="179" spans="1:10" ht="12" customHeight="1" x14ac:dyDescent="0.25">
      <c r="A179" s="99" t="str">
        <f>'Total Price List'!A183</f>
        <v>G Data ClientSecurity + MailSecurity + Backup network license renewal</v>
      </c>
      <c r="B179" s="99"/>
      <c r="C179" s="99"/>
      <c r="D179" s="99"/>
      <c r="E179" s="99"/>
      <c r="F179" s="99"/>
      <c r="G179" s="99"/>
      <c r="H179" s="99"/>
      <c r="I179" s="99"/>
      <c r="J179" s="100"/>
    </row>
    <row r="180" spans="1:10" ht="12" customHeight="1" x14ac:dyDescent="0.25">
      <c r="A180" s="85" t="str">
        <f>'Total Price List'!A184</f>
        <v>G Data</v>
      </c>
      <c r="B180" s="7">
        <f>'Total Price List'!B184</f>
        <v>20561</v>
      </c>
      <c r="C180" s="6"/>
      <c r="D180" s="6" t="str">
        <f>'Total Price List'!D184</f>
        <v>Renewal 1Y GD CS ENT -9</v>
      </c>
      <c r="E180" s="6" t="str">
        <f>'Total Price List'!E184</f>
        <v>Renewal 4 &lt; x &lt; 10</v>
      </c>
      <c r="F180" s="7" t="str">
        <f>'Total Price List'!F184</f>
        <v>Renewal</v>
      </c>
      <c r="G180" s="6" t="str">
        <f>'Total Price List'!G184</f>
        <v>G Data ClientSecurity + MailSecurity + Backup</v>
      </c>
      <c r="H180" s="6" t="str">
        <f>'Total Price List'!H184</f>
        <v>network license renewal 1 year</v>
      </c>
      <c r="I180" s="77">
        <f>'Total Price List'!I184</f>
        <v>26.400000000000002</v>
      </c>
      <c r="J180" s="72">
        <f>'Total Price List'!J184</f>
        <v>26.400000000000002</v>
      </c>
    </row>
    <row r="181" spans="1:10" ht="12" customHeight="1" x14ac:dyDescent="0.25">
      <c r="A181" s="85" t="str">
        <f>'Total Price List'!A185</f>
        <v>G Data</v>
      </c>
      <c r="B181" s="7">
        <f>'Total Price List'!B185</f>
        <v>20562</v>
      </c>
      <c r="C181" s="6"/>
      <c r="D181" s="6" t="str">
        <f>'Total Price List'!D185</f>
        <v>Renewal 1Y GD CS ENT 10+</v>
      </c>
      <c r="E181" s="6" t="str">
        <f>'Total Price List'!E185</f>
        <v>Renewal 9 &lt; x &lt; 25</v>
      </c>
      <c r="F181" s="7" t="str">
        <f>'Total Price List'!F185</f>
        <v>Renewal</v>
      </c>
      <c r="G181" s="6" t="str">
        <f>'Total Price List'!G185</f>
        <v>G Data ClientSecurity + MailSecurity + Backup</v>
      </c>
      <c r="H181" s="6" t="str">
        <f>'Total Price List'!H185</f>
        <v>network license renewal 1 year</v>
      </c>
      <c r="I181" s="77">
        <f>'Total Price List'!I185</f>
        <v>25.872000000000003</v>
      </c>
      <c r="J181" s="72">
        <f>'Total Price List'!J185</f>
        <v>25.872000000000003</v>
      </c>
    </row>
    <row r="182" spans="1:10" ht="12" customHeight="1" x14ac:dyDescent="0.25">
      <c r="A182" s="85" t="str">
        <f>'Total Price List'!A186</f>
        <v>G Data</v>
      </c>
      <c r="B182" s="7">
        <f>'Total Price List'!B186</f>
        <v>20563</v>
      </c>
      <c r="C182" s="6"/>
      <c r="D182" s="6" t="str">
        <f>'Total Price List'!D186</f>
        <v>Renewal 1Y GD CS ENT 25+</v>
      </c>
      <c r="E182" s="6" t="str">
        <f>'Total Price List'!E186</f>
        <v>Renewal 24 &lt; x &lt; 50</v>
      </c>
      <c r="F182" s="7" t="str">
        <f>'Total Price List'!F186</f>
        <v>Renewal</v>
      </c>
      <c r="G182" s="6" t="str">
        <f>'Total Price List'!G186</f>
        <v>G Data ClientSecurity + MailSecurity + Backup</v>
      </c>
      <c r="H182" s="6" t="str">
        <f>'Total Price List'!H186</f>
        <v>network license renewal 1 year</v>
      </c>
      <c r="I182" s="77">
        <f>'Total Price List'!I186</f>
        <v>21.753600000000006</v>
      </c>
      <c r="J182" s="72">
        <f>'Total Price List'!J186</f>
        <v>21.753600000000006</v>
      </c>
    </row>
    <row r="183" spans="1:10" ht="12" customHeight="1" x14ac:dyDescent="0.25">
      <c r="A183" s="85" t="str">
        <f>'Total Price List'!A187</f>
        <v>G Data</v>
      </c>
      <c r="B183" s="7">
        <f>'Total Price List'!B187</f>
        <v>20564</v>
      </c>
      <c r="C183" s="6"/>
      <c r="D183" s="6" t="str">
        <f>'Total Price List'!D187</f>
        <v>Renewal 1Y GD CS ENT 50+</v>
      </c>
      <c r="E183" s="6" t="str">
        <f>'Total Price List'!E187</f>
        <v>Renewal 49 &lt; x &lt; 100</v>
      </c>
      <c r="F183" s="7" t="str">
        <f>'Total Price List'!F187</f>
        <v>Renewal</v>
      </c>
      <c r="G183" s="6" t="str">
        <f>'Total Price List'!G187</f>
        <v>G Data ClientSecurity + MailSecurity + Backup</v>
      </c>
      <c r="H183" s="6" t="str">
        <f>'Total Price List'!H187</f>
        <v>network license renewal 1 year</v>
      </c>
      <c r="I183" s="77">
        <f>'Total Price List'!I187</f>
        <v>20.380800000000004</v>
      </c>
      <c r="J183" s="72">
        <f>'Total Price List'!J187</f>
        <v>20.380800000000004</v>
      </c>
    </row>
    <row r="184" spans="1:10" ht="12" customHeight="1" x14ac:dyDescent="0.25">
      <c r="A184" s="85" t="str">
        <f>'Total Price List'!A188</f>
        <v>G Data</v>
      </c>
      <c r="B184" s="7">
        <f>'Total Price List'!B188</f>
        <v>20565</v>
      </c>
      <c r="C184" s="6"/>
      <c r="D184" s="6" t="str">
        <f>'Total Price List'!D188</f>
        <v>Renewal 1Y GD CS ENT 100+</v>
      </c>
      <c r="E184" s="6" t="str">
        <f>'Total Price List'!E188</f>
        <v>Renewal 99 &lt; x &lt; 250</v>
      </c>
      <c r="F184" s="7" t="str">
        <f>'Total Price List'!F188</f>
        <v>Renewal</v>
      </c>
      <c r="G184" s="6" t="str">
        <f>'Total Price List'!G188</f>
        <v>G Data ClientSecurity + MailSecurity + Backup</v>
      </c>
      <c r="H184" s="6" t="str">
        <f>'Total Price List'!H188</f>
        <v>network license renewal 1 year</v>
      </c>
      <c r="I184" s="77">
        <f>'Total Price List'!I188</f>
        <v>16.526400000000006</v>
      </c>
      <c r="J184" s="72">
        <f>'Total Price List'!J188</f>
        <v>16.526400000000006</v>
      </c>
    </row>
    <row r="185" spans="1:10" ht="12" customHeight="1" x14ac:dyDescent="0.25">
      <c r="A185" s="85" t="str">
        <f>'Total Price List'!A189</f>
        <v>G Data</v>
      </c>
      <c r="B185" s="7">
        <f>'Total Price List'!B189</f>
        <v>20566</v>
      </c>
      <c r="C185" s="6"/>
      <c r="D185" s="6" t="str">
        <f>'Total Price List'!D189</f>
        <v>Renewal 1Y GD CS ENT 250+</v>
      </c>
      <c r="E185" s="6" t="str">
        <f>'Total Price List'!E189</f>
        <v>Renewal 249 &lt; x &lt; 500</v>
      </c>
      <c r="F185" s="7" t="str">
        <f>'Total Price List'!F189</f>
        <v>Renewal</v>
      </c>
      <c r="G185" s="6" t="str">
        <f>'Total Price List'!G189</f>
        <v>G Data ClientSecurity + MailSecurity + Backup</v>
      </c>
      <c r="H185" s="6" t="str">
        <f>'Total Price List'!H189</f>
        <v>network license renewal 1 year</v>
      </c>
      <c r="I185" s="77">
        <f>'Total Price List'!I189</f>
        <v>12.94656</v>
      </c>
      <c r="J185" s="72">
        <f>'Total Price List'!J189</f>
        <v>12.94656</v>
      </c>
    </row>
    <row r="186" spans="1:10" ht="12" customHeight="1" x14ac:dyDescent="0.25">
      <c r="A186" s="85" t="str">
        <f>'Total Price List'!A190</f>
        <v>G Data</v>
      </c>
      <c r="B186" s="7">
        <f>'Total Price List'!B190</f>
        <v>20567</v>
      </c>
      <c r="C186" s="6"/>
      <c r="D186" s="6" t="str">
        <f>'Total Price List'!D190</f>
        <v>Renewal 1Y GD CS ENT 500+</v>
      </c>
      <c r="E186" s="6" t="str">
        <f>'Total Price List'!E190</f>
        <v>Renewal 499 &lt; x &lt; 1000</v>
      </c>
      <c r="F186" s="7" t="str">
        <f>'Total Price List'!F190</f>
        <v>Renewal</v>
      </c>
      <c r="G186" s="6" t="str">
        <f>'Total Price List'!G190</f>
        <v>G Data ClientSecurity + MailSecurity + Backup</v>
      </c>
      <c r="H186" s="6" t="str">
        <f>'Total Price List'!H190</f>
        <v>network license renewal 1 year</v>
      </c>
      <c r="I186" s="77">
        <f>'Total Price List'!I190</f>
        <v>11.225280000000001</v>
      </c>
      <c r="J186" s="72">
        <f>'Total Price List'!J190</f>
        <v>11.225280000000001</v>
      </c>
    </row>
    <row r="187" spans="1:10" ht="12" customHeight="1" x14ac:dyDescent="0.25">
      <c r="A187" s="85" t="str">
        <f>'Total Price List'!A191</f>
        <v>G Data</v>
      </c>
      <c r="B187" s="7">
        <f>'Total Price List'!B191</f>
        <v>20568</v>
      </c>
      <c r="C187" s="6"/>
      <c r="D187" s="6" t="str">
        <f>'Total Price List'!D191</f>
        <v>Renewal 1Y GD CS ENT 1000+</v>
      </c>
      <c r="E187" s="6" t="str">
        <f>'Total Price List'!E191</f>
        <v>Renewal 999 &lt; x &lt; 2500</v>
      </c>
      <c r="F187" s="7" t="str">
        <f>'Total Price List'!F191</f>
        <v>Renewal</v>
      </c>
      <c r="G187" s="6" t="str">
        <f>'Total Price List'!G191</f>
        <v>G Data ClientSecurity + MailSecurity + Backup</v>
      </c>
      <c r="H187" s="6" t="str">
        <f>'Total Price List'!H191</f>
        <v>network license renewal 1 year</v>
      </c>
      <c r="I187" s="77">
        <f>'Total Price List'!I191</f>
        <v>9.6096000000000004</v>
      </c>
      <c r="J187" s="72">
        <f>'Total Price List'!J191</f>
        <v>9.6096000000000004</v>
      </c>
    </row>
    <row r="188" spans="1:10" ht="12" customHeight="1" x14ac:dyDescent="0.25">
      <c r="A188" s="85" t="str">
        <f>'Total Price List'!A192</f>
        <v>G Data</v>
      </c>
      <c r="B188" s="7">
        <f>'Total Price List'!B192</f>
        <v>20571</v>
      </c>
      <c r="C188" s="6"/>
      <c r="D188" s="6" t="str">
        <f>'Total Price List'!D192</f>
        <v>Renewal 2Y GD CS ENT -9</v>
      </c>
      <c r="E188" s="6" t="str">
        <f>'Total Price List'!E192</f>
        <v>Renewal 4 &lt; x &lt; 10</v>
      </c>
      <c r="F188" s="7" t="str">
        <f>'Total Price List'!F192</f>
        <v>Renewal</v>
      </c>
      <c r="G188" s="6" t="str">
        <f>'Total Price List'!G192</f>
        <v>G Data ClientSecurity + MailSecurity + Backup</v>
      </c>
      <c r="H188" s="6" t="str">
        <f>'Total Price List'!H192</f>
        <v>network license renewal 2 years</v>
      </c>
      <c r="I188" s="77">
        <f>'Total Price List'!I192</f>
        <v>46.20000000000001</v>
      </c>
      <c r="J188" s="72">
        <f>'Total Price List'!J192</f>
        <v>46.20000000000001</v>
      </c>
    </row>
    <row r="189" spans="1:10" ht="12" customHeight="1" x14ac:dyDescent="0.25">
      <c r="A189" s="85" t="str">
        <f>'Total Price List'!A193</f>
        <v>G Data</v>
      </c>
      <c r="B189" s="7">
        <f>'Total Price List'!B193</f>
        <v>20572</v>
      </c>
      <c r="C189" s="6"/>
      <c r="D189" s="6" t="str">
        <f>'Total Price List'!D193</f>
        <v>Renewal 2Y GD CS ENT 10+</v>
      </c>
      <c r="E189" s="6" t="str">
        <f>'Total Price List'!E193</f>
        <v>Renewal 9 &lt; x &lt; 25</v>
      </c>
      <c r="F189" s="7" t="str">
        <f>'Total Price List'!F193</f>
        <v>Renewal</v>
      </c>
      <c r="G189" s="6" t="str">
        <f>'Total Price List'!G193</f>
        <v>G Data ClientSecurity + MailSecurity + Backup</v>
      </c>
      <c r="H189" s="6" t="str">
        <f>'Total Price List'!H193</f>
        <v>network license renewal 2 years</v>
      </c>
      <c r="I189" s="77">
        <f>'Total Price List'!I193</f>
        <v>45.276000000000003</v>
      </c>
      <c r="J189" s="72">
        <f>'Total Price List'!J193</f>
        <v>45.276000000000003</v>
      </c>
    </row>
    <row r="190" spans="1:10" ht="12" customHeight="1" x14ac:dyDescent="0.25">
      <c r="A190" s="85" t="str">
        <f>'Total Price List'!A194</f>
        <v>G Data</v>
      </c>
      <c r="B190" s="7">
        <f>'Total Price List'!B194</f>
        <v>20573</v>
      </c>
      <c r="C190" s="6"/>
      <c r="D190" s="6" t="str">
        <f>'Total Price List'!D194</f>
        <v>Renewal 2Y GD CS ENT 25+</v>
      </c>
      <c r="E190" s="6" t="str">
        <f>'Total Price List'!E194</f>
        <v>Renewal 24 &lt; x &lt; 50</v>
      </c>
      <c r="F190" s="7" t="str">
        <f>'Total Price List'!F194</f>
        <v>Renewal</v>
      </c>
      <c r="G190" s="6" t="str">
        <f>'Total Price List'!G194</f>
        <v>G Data ClientSecurity + MailSecurity + Backup</v>
      </c>
      <c r="H190" s="6" t="str">
        <f>'Total Price List'!H194</f>
        <v>network license renewal 2 years</v>
      </c>
      <c r="I190" s="77">
        <f>'Total Price List'!I194</f>
        <v>38.068800000000003</v>
      </c>
      <c r="J190" s="72">
        <f>'Total Price List'!J194</f>
        <v>38.068800000000003</v>
      </c>
    </row>
    <row r="191" spans="1:10" ht="12" customHeight="1" x14ac:dyDescent="0.25">
      <c r="A191" s="85" t="str">
        <f>'Total Price List'!A195</f>
        <v>G Data</v>
      </c>
      <c r="B191" s="7">
        <f>'Total Price List'!B195</f>
        <v>20574</v>
      </c>
      <c r="C191" s="6"/>
      <c r="D191" s="6" t="str">
        <f>'Total Price List'!D195</f>
        <v>Renewal 2Y GD CS ENT 50+</v>
      </c>
      <c r="E191" s="6" t="str">
        <f>'Total Price List'!E195</f>
        <v>Renewal 49 &lt; x &lt; 100</v>
      </c>
      <c r="F191" s="7" t="str">
        <f>'Total Price List'!F195</f>
        <v>Renewal</v>
      </c>
      <c r="G191" s="6" t="str">
        <f>'Total Price List'!G195</f>
        <v>G Data ClientSecurity + MailSecurity + Backup</v>
      </c>
      <c r="H191" s="6" t="str">
        <f>'Total Price List'!H195</f>
        <v>network license renewal 2 years</v>
      </c>
      <c r="I191" s="77">
        <f>'Total Price List'!I195</f>
        <v>35.666400000000003</v>
      </c>
      <c r="J191" s="72">
        <f>'Total Price List'!J195</f>
        <v>35.666400000000003</v>
      </c>
    </row>
    <row r="192" spans="1:10" ht="12" customHeight="1" x14ac:dyDescent="0.25">
      <c r="A192" s="85" t="str">
        <f>'Total Price List'!A196</f>
        <v>G Data</v>
      </c>
      <c r="B192" s="7">
        <f>'Total Price List'!B196</f>
        <v>20575</v>
      </c>
      <c r="C192" s="6"/>
      <c r="D192" s="6" t="str">
        <f>'Total Price List'!D196</f>
        <v>Renewal 2Y GD CS ENT 100+</v>
      </c>
      <c r="E192" s="6" t="str">
        <f>'Total Price List'!E196</f>
        <v>Renewal 99 &lt; x &lt; 250</v>
      </c>
      <c r="F192" s="7" t="str">
        <f>'Total Price List'!F196</f>
        <v>Renewal</v>
      </c>
      <c r="G192" s="6" t="str">
        <f>'Total Price List'!G196</f>
        <v>G Data ClientSecurity + MailSecurity + Backup</v>
      </c>
      <c r="H192" s="6" t="str">
        <f>'Total Price List'!H196</f>
        <v>network license renewal 2 years</v>
      </c>
      <c r="I192" s="77">
        <f>'Total Price List'!I196</f>
        <v>28.921199999999999</v>
      </c>
      <c r="J192" s="72">
        <f>'Total Price List'!J196</f>
        <v>28.921199999999999</v>
      </c>
    </row>
    <row r="193" spans="1:10" ht="12" customHeight="1" x14ac:dyDescent="0.25">
      <c r="A193" s="85" t="str">
        <f>'Total Price List'!A197</f>
        <v>G Data</v>
      </c>
      <c r="B193" s="7">
        <f>'Total Price List'!B197</f>
        <v>20576</v>
      </c>
      <c r="C193" s="6"/>
      <c r="D193" s="6" t="str">
        <f>'Total Price List'!D197</f>
        <v>Renewal 2Y GD CS ENT 250+</v>
      </c>
      <c r="E193" s="6" t="str">
        <f>'Total Price List'!E197</f>
        <v>Renewal 249 &lt; x &lt; 500</v>
      </c>
      <c r="F193" s="7" t="str">
        <f>'Total Price List'!F197</f>
        <v>Renewal</v>
      </c>
      <c r="G193" s="6" t="str">
        <f>'Total Price List'!G197</f>
        <v>G Data ClientSecurity + MailSecurity + Backup</v>
      </c>
      <c r="H193" s="6" t="str">
        <f>'Total Price List'!H197</f>
        <v>network license renewal 2 years</v>
      </c>
      <c r="I193" s="77">
        <f>'Total Price List'!I197</f>
        <v>22.656480000000002</v>
      </c>
      <c r="J193" s="72">
        <f>'Total Price List'!J197</f>
        <v>22.656480000000002</v>
      </c>
    </row>
    <row r="194" spans="1:10" ht="12" customHeight="1" x14ac:dyDescent="0.25">
      <c r="A194" s="85" t="str">
        <f>'Total Price List'!A198</f>
        <v>G Data</v>
      </c>
      <c r="B194" s="7">
        <f>'Total Price List'!B198</f>
        <v>20577</v>
      </c>
      <c r="C194" s="6"/>
      <c r="D194" s="6" t="str">
        <f>'Total Price List'!D198</f>
        <v>Renewal 2Y GD CS ENT 500+</v>
      </c>
      <c r="E194" s="6" t="str">
        <f>'Total Price List'!E198</f>
        <v>Renewal 499 &lt; x &lt; 1000</v>
      </c>
      <c r="F194" s="7" t="str">
        <f>'Total Price List'!F198</f>
        <v>Renewal</v>
      </c>
      <c r="G194" s="6" t="str">
        <f>'Total Price List'!G198</f>
        <v>G Data ClientSecurity + MailSecurity + Backup</v>
      </c>
      <c r="H194" s="6" t="str">
        <f>'Total Price List'!H198</f>
        <v>network license renewal 2 years</v>
      </c>
      <c r="I194" s="77">
        <f>'Total Price List'!I198</f>
        <v>19.644240000000003</v>
      </c>
      <c r="J194" s="72">
        <f>'Total Price List'!J198</f>
        <v>19.644240000000003</v>
      </c>
    </row>
    <row r="195" spans="1:10" ht="12" customHeight="1" x14ac:dyDescent="0.25">
      <c r="A195" s="85" t="str">
        <f>'Total Price List'!A199</f>
        <v>G Data</v>
      </c>
      <c r="B195" s="7">
        <f>'Total Price List'!B199</f>
        <v>20578</v>
      </c>
      <c r="C195" s="6"/>
      <c r="D195" s="6" t="str">
        <f>'Total Price List'!D199</f>
        <v>Renewal 2Y GD CS ENT 1000+</v>
      </c>
      <c r="E195" s="6" t="str">
        <f>'Total Price List'!E199</f>
        <v>Renewal 999 &lt; x &lt; 2500</v>
      </c>
      <c r="F195" s="7" t="str">
        <f>'Total Price List'!F199</f>
        <v>Renewal</v>
      </c>
      <c r="G195" s="6" t="str">
        <f>'Total Price List'!G199</f>
        <v>G Data ClientSecurity + MailSecurity + Backup</v>
      </c>
      <c r="H195" s="6" t="str">
        <f>'Total Price List'!H199</f>
        <v>network license renewal 2 years</v>
      </c>
      <c r="I195" s="77">
        <f>'Total Price List'!I199</f>
        <v>17.846399999999999</v>
      </c>
      <c r="J195" s="72">
        <f>'Total Price List'!J199</f>
        <v>17.846399999999999</v>
      </c>
    </row>
    <row r="196" spans="1:10" ht="12" customHeight="1" x14ac:dyDescent="0.25">
      <c r="A196" s="85" t="str">
        <f>'Total Price List'!A200</f>
        <v>G Data</v>
      </c>
      <c r="B196" s="7">
        <f>'Total Price List'!B200</f>
        <v>20581</v>
      </c>
      <c r="C196" s="6"/>
      <c r="D196" s="6" t="str">
        <f>'Total Price List'!D200</f>
        <v>Renewal 3Y GD CS ENT -9</v>
      </c>
      <c r="E196" s="6" t="str">
        <f>'Total Price List'!E200</f>
        <v>Renewal 4 &lt; x &lt; 10</v>
      </c>
      <c r="F196" s="7" t="str">
        <f>'Total Price List'!F200</f>
        <v>Renewal</v>
      </c>
      <c r="G196" s="6" t="str">
        <f>'Total Price List'!G200</f>
        <v>G Data ClientSecurity + MailSecurity + Backup</v>
      </c>
      <c r="H196" s="6" t="str">
        <f>'Total Price List'!H200</f>
        <v>network license renewal 3 years</v>
      </c>
      <c r="I196" s="77">
        <f>'Total Price List'!I200</f>
        <v>66</v>
      </c>
      <c r="J196" s="72">
        <f>'Total Price List'!J200</f>
        <v>66</v>
      </c>
    </row>
    <row r="197" spans="1:10" ht="12" customHeight="1" x14ac:dyDescent="0.25">
      <c r="A197" s="85" t="str">
        <f>'Total Price List'!A201</f>
        <v>G Data</v>
      </c>
      <c r="B197" s="7">
        <f>'Total Price List'!B201</f>
        <v>20582</v>
      </c>
      <c r="C197" s="6"/>
      <c r="D197" s="6" t="str">
        <f>'Total Price List'!D201</f>
        <v>Renewal 3Y GD CS ENT 10+</v>
      </c>
      <c r="E197" s="6" t="str">
        <f>'Total Price List'!E201</f>
        <v>Renewal 9 &lt; x &lt; 25</v>
      </c>
      <c r="F197" s="7" t="str">
        <f>'Total Price List'!F201</f>
        <v>Renewal</v>
      </c>
      <c r="G197" s="6" t="str">
        <f>'Total Price List'!G201</f>
        <v>G Data ClientSecurity + MailSecurity + Backup</v>
      </c>
      <c r="H197" s="6" t="str">
        <f>'Total Price List'!H201</f>
        <v>network license renewal 3 years</v>
      </c>
      <c r="I197" s="77">
        <f>'Total Price List'!I201</f>
        <v>64.679999999999993</v>
      </c>
      <c r="J197" s="72">
        <f>'Total Price List'!J201</f>
        <v>64.679999999999993</v>
      </c>
    </row>
    <row r="198" spans="1:10" ht="12" customHeight="1" x14ac:dyDescent="0.25">
      <c r="A198" s="85" t="str">
        <f>'Total Price List'!A202</f>
        <v>G Data</v>
      </c>
      <c r="B198" s="7">
        <f>'Total Price List'!B202</f>
        <v>20583</v>
      </c>
      <c r="C198" s="6"/>
      <c r="D198" s="6" t="str">
        <f>'Total Price List'!D202</f>
        <v>Renewal 3Y GD CS ENT 25+</v>
      </c>
      <c r="E198" s="6" t="str">
        <f>'Total Price List'!E202</f>
        <v>Renewal 24 &lt; x &lt; 50</v>
      </c>
      <c r="F198" s="7" t="str">
        <f>'Total Price List'!F202</f>
        <v>Renewal</v>
      </c>
      <c r="G198" s="6" t="str">
        <f>'Total Price List'!G202</f>
        <v>G Data ClientSecurity + MailSecurity + Backup</v>
      </c>
      <c r="H198" s="6" t="str">
        <f>'Total Price List'!H202</f>
        <v>network license renewal 3 years</v>
      </c>
      <c r="I198" s="77">
        <f>'Total Price List'!I202</f>
        <v>54.384000000000007</v>
      </c>
      <c r="J198" s="72">
        <f>'Total Price List'!J202</f>
        <v>54.384000000000007</v>
      </c>
    </row>
    <row r="199" spans="1:10" ht="12" customHeight="1" x14ac:dyDescent="0.25">
      <c r="A199" s="85" t="str">
        <f>'Total Price List'!A203</f>
        <v>G Data</v>
      </c>
      <c r="B199" s="7">
        <f>'Total Price List'!B203</f>
        <v>20584</v>
      </c>
      <c r="C199" s="6"/>
      <c r="D199" s="6" t="str">
        <f>'Total Price List'!D203</f>
        <v>Renewal 3Y GD CS ENT 50+</v>
      </c>
      <c r="E199" s="6" t="str">
        <f>'Total Price List'!E203</f>
        <v>Renewal 49 &lt; x &lt; 100</v>
      </c>
      <c r="F199" s="7" t="str">
        <f>'Total Price List'!F203</f>
        <v>Renewal</v>
      </c>
      <c r="G199" s="6" t="str">
        <f>'Total Price List'!G203</f>
        <v>G Data ClientSecurity + MailSecurity + Backup</v>
      </c>
      <c r="H199" s="6" t="str">
        <f>'Total Price List'!H203</f>
        <v>network license renewal 3 years</v>
      </c>
      <c r="I199" s="77">
        <f>'Total Price List'!I203</f>
        <v>50.951999999999998</v>
      </c>
      <c r="J199" s="72">
        <f>'Total Price List'!J203</f>
        <v>50.951999999999998</v>
      </c>
    </row>
    <row r="200" spans="1:10" ht="12" customHeight="1" x14ac:dyDescent="0.25">
      <c r="A200" s="85" t="str">
        <f>'Total Price List'!A204</f>
        <v>G Data</v>
      </c>
      <c r="B200" s="7">
        <f>'Total Price List'!B204</f>
        <v>20585</v>
      </c>
      <c r="C200" s="6"/>
      <c r="D200" s="6" t="str">
        <f>'Total Price List'!D204</f>
        <v>Renewal 3Y GD CS ENT 100+</v>
      </c>
      <c r="E200" s="6" t="str">
        <f>'Total Price List'!E204</f>
        <v>Renewal 99 &lt; x &lt; 250</v>
      </c>
      <c r="F200" s="7" t="str">
        <f>'Total Price List'!F204</f>
        <v>Renewal</v>
      </c>
      <c r="G200" s="6" t="str">
        <f>'Total Price List'!G204</f>
        <v>G Data ClientSecurity + MailSecurity + Backup</v>
      </c>
      <c r="H200" s="6" t="str">
        <f>'Total Price List'!H204</f>
        <v>network license renewal 3 years</v>
      </c>
      <c r="I200" s="77">
        <f>'Total Price List'!I204</f>
        <v>41.316000000000003</v>
      </c>
      <c r="J200" s="72">
        <f>'Total Price List'!J204</f>
        <v>41.316000000000003</v>
      </c>
    </row>
    <row r="201" spans="1:10" ht="12" customHeight="1" x14ac:dyDescent="0.25">
      <c r="A201" s="85" t="str">
        <f>'Total Price List'!A205</f>
        <v>G Data</v>
      </c>
      <c r="B201" s="7">
        <f>'Total Price List'!B205</f>
        <v>20586</v>
      </c>
      <c r="C201" s="6"/>
      <c r="D201" s="6" t="str">
        <f>'Total Price List'!D205</f>
        <v>Renewal 3Y GD CS ENT 250+</v>
      </c>
      <c r="E201" s="6" t="str">
        <f>'Total Price List'!E205</f>
        <v>Renewal 249 &lt; x &lt; 500</v>
      </c>
      <c r="F201" s="7" t="str">
        <f>'Total Price List'!F205</f>
        <v>Renewal</v>
      </c>
      <c r="G201" s="6" t="str">
        <f>'Total Price List'!G205</f>
        <v>G Data ClientSecurity + MailSecurity + Backup</v>
      </c>
      <c r="H201" s="6" t="str">
        <f>'Total Price List'!H205</f>
        <v>network license renewal 3 years</v>
      </c>
      <c r="I201" s="77">
        <f>'Total Price List'!I205</f>
        <v>32.366400000000006</v>
      </c>
      <c r="J201" s="72">
        <f>'Total Price List'!J205</f>
        <v>32.366400000000006</v>
      </c>
    </row>
    <row r="202" spans="1:10" ht="12" customHeight="1" x14ac:dyDescent="0.25">
      <c r="A202" s="85" t="str">
        <f>'Total Price List'!A206</f>
        <v>G Data</v>
      </c>
      <c r="B202" s="7">
        <f>'Total Price List'!B206</f>
        <v>20587</v>
      </c>
      <c r="C202" s="6"/>
      <c r="D202" s="6" t="str">
        <f>'Total Price List'!D206</f>
        <v>Renewal 3Y GD CS ENT 500+</v>
      </c>
      <c r="E202" s="6" t="str">
        <f>'Total Price List'!E206</f>
        <v>Renewal 499 &lt; x &lt; 1000</v>
      </c>
      <c r="F202" s="7" t="str">
        <f>'Total Price List'!F206</f>
        <v>Renewal</v>
      </c>
      <c r="G202" s="6" t="str">
        <f>'Total Price List'!G206</f>
        <v>G Data ClientSecurity + MailSecurity + Backup</v>
      </c>
      <c r="H202" s="6" t="str">
        <f>'Total Price List'!H206</f>
        <v>network license renewal 3 years</v>
      </c>
      <c r="I202" s="77">
        <f>'Total Price List'!I206</f>
        <v>28.063200000000009</v>
      </c>
      <c r="J202" s="72">
        <f>'Total Price List'!J206</f>
        <v>28.063200000000009</v>
      </c>
    </row>
    <row r="203" spans="1:10" ht="12" customHeight="1" thickBot="1" x14ac:dyDescent="0.3">
      <c r="A203" s="86" t="str">
        <f>'Total Price List'!A207</f>
        <v>G Data</v>
      </c>
      <c r="B203" s="20">
        <f>'Total Price List'!B207</f>
        <v>20588</v>
      </c>
      <c r="C203" s="21"/>
      <c r="D203" s="21" t="str">
        <f>'Total Price List'!D207</f>
        <v>Renewal 3Y GD CS ENT 1000+</v>
      </c>
      <c r="E203" s="21" t="str">
        <f>'Total Price List'!E207</f>
        <v>Renewal 999 &lt; x &lt; 2500</v>
      </c>
      <c r="F203" s="20" t="str">
        <f>'Total Price List'!F207</f>
        <v>Renewal</v>
      </c>
      <c r="G203" s="21" t="str">
        <f>'Total Price List'!G207</f>
        <v>G Data ClientSecurity + MailSecurity + Backup</v>
      </c>
      <c r="H203" s="21" t="str">
        <f>'Total Price List'!H207</f>
        <v>network license renewal 3 years</v>
      </c>
      <c r="I203" s="78">
        <f>'Total Price List'!I207</f>
        <v>24.024000000000001</v>
      </c>
      <c r="J203" s="73">
        <f>'Total Price List'!J207</f>
        <v>24.024000000000001</v>
      </c>
    </row>
    <row r="204" spans="1:10" ht="12" customHeight="1" x14ac:dyDescent="0.25">
      <c r="A204" s="99" t="str">
        <f>'Total Price List'!A208</f>
        <v>G Data MailSecurity network license</v>
      </c>
      <c r="B204" s="99"/>
      <c r="C204" s="99"/>
      <c r="D204" s="99"/>
      <c r="E204" s="99"/>
      <c r="F204" s="99"/>
      <c r="G204" s="99"/>
      <c r="H204" s="99"/>
      <c r="I204" s="99"/>
      <c r="J204" s="100"/>
    </row>
    <row r="205" spans="1:10" ht="12" customHeight="1" x14ac:dyDescent="0.25">
      <c r="A205" s="83" t="str">
        <f>'Total Price List'!A209</f>
        <v>G Data</v>
      </c>
      <c r="B205" s="4">
        <f>'Total Price List'!B209</f>
        <v>20612</v>
      </c>
      <c r="C205" s="3"/>
      <c r="D205" s="3" t="str">
        <f>'Total Price List'!D209</f>
        <v>License 1Y GD MS 10+</v>
      </c>
      <c r="E205" s="3" t="str">
        <f>'Total Price List'!E209</f>
        <v>License 9 &lt; x &lt; 25</v>
      </c>
      <c r="F205" s="4" t="str">
        <f>'Total Price List'!F209</f>
        <v>License</v>
      </c>
      <c r="G205" s="3" t="str">
        <f>'Total Price List'!G209</f>
        <v xml:space="preserve">G Data MailSecurity </v>
      </c>
      <c r="H205" s="3" t="str">
        <f>'Total Price List'!H209</f>
        <v>Mail gateway virus+anti spam license 1 year</v>
      </c>
      <c r="I205" s="64">
        <f>'Total Price List'!I209</f>
        <v>22.5</v>
      </c>
      <c r="J205" s="65">
        <f>'Total Price List'!J209</f>
        <v>22.5</v>
      </c>
    </row>
    <row r="206" spans="1:10" ht="12" customHeight="1" x14ac:dyDescent="0.25">
      <c r="A206" s="83" t="str">
        <f>'Total Price List'!A210</f>
        <v>G Data</v>
      </c>
      <c r="B206" s="4">
        <f>'Total Price List'!B210</f>
        <v>20613</v>
      </c>
      <c r="C206" s="3"/>
      <c r="D206" s="3" t="str">
        <f>'Total Price List'!D210</f>
        <v>License 1Y GD MS 25+</v>
      </c>
      <c r="E206" s="3" t="str">
        <f>'Total Price List'!E210</f>
        <v>License 24 &lt; x &lt; 50</v>
      </c>
      <c r="F206" s="4" t="str">
        <f>'Total Price List'!F210</f>
        <v>License</v>
      </c>
      <c r="G206" s="3" t="str">
        <f>'Total Price List'!G210</f>
        <v xml:space="preserve">G Data MailSecurity </v>
      </c>
      <c r="H206" s="3" t="str">
        <f>'Total Price List'!H210</f>
        <v>Mail gateway virus+anti spam license 1 year</v>
      </c>
      <c r="I206" s="64">
        <f>'Total Price List'!I210</f>
        <v>19.5</v>
      </c>
      <c r="J206" s="65">
        <f>'Total Price List'!J210</f>
        <v>19.5</v>
      </c>
    </row>
    <row r="207" spans="1:10" ht="12" customHeight="1" x14ac:dyDescent="0.25">
      <c r="A207" s="83" t="str">
        <f>'Total Price List'!A211</f>
        <v>G Data</v>
      </c>
      <c r="B207" s="4">
        <f>'Total Price List'!B211</f>
        <v>20614</v>
      </c>
      <c r="C207" s="3"/>
      <c r="D207" s="3" t="str">
        <f>'Total Price List'!D211</f>
        <v>License 1Y GD MS 50+</v>
      </c>
      <c r="E207" s="3" t="str">
        <f>'Total Price List'!E211</f>
        <v>License 49 &lt; x &lt; 100</v>
      </c>
      <c r="F207" s="4" t="str">
        <f>'Total Price List'!F211</f>
        <v>License</v>
      </c>
      <c r="G207" s="3" t="str">
        <f>'Total Price List'!G211</f>
        <v xml:space="preserve">G Data MailSecurity </v>
      </c>
      <c r="H207" s="3" t="str">
        <f>'Total Price List'!H211</f>
        <v>Mail gateway virus+anti spam license 1 year</v>
      </c>
      <c r="I207" s="64">
        <f>'Total Price List'!I211</f>
        <v>18</v>
      </c>
      <c r="J207" s="65">
        <f>'Total Price List'!J211</f>
        <v>18</v>
      </c>
    </row>
    <row r="208" spans="1:10" ht="12" customHeight="1" x14ac:dyDescent="0.25">
      <c r="A208" s="83" t="str">
        <f>'Total Price List'!A212</f>
        <v>G Data</v>
      </c>
      <c r="B208" s="4">
        <f>'Total Price List'!B212</f>
        <v>20615</v>
      </c>
      <c r="C208" s="3"/>
      <c r="D208" s="3" t="str">
        <f>'Total Price List'!D212</f>
        <v>License 1Y GD MS 100+</v>
      </c>
      <c r="E208" s="3" t="str">
        <f>'Total Price List'!E212</f>
        <v>License 99 &lt; x &lt; 250</v>
      </c>
      <c r="F208" s="4" t="str">
        <f>'Total Price List'!F212</f>
        <v>License</v>
      </c>
      <c r="G208" s="3" t="str">
        <f>'Total Price List'!G212</f>
        <v xml:space="preserve">G Data MailSecurity </v>
      </c>
      <c r="H208" s="3" t="str">
        <f>'Total Price List'!H212</f>
        <v>Mail gateway virus+anti spam license 1 year</v>
      </c>
      <c r="I208" s="64">
        <f>'Total Price List'!I212</f>
        <v>15.75</v>
      </c>
      <c r="J208" s="65">
        <f>'Total Price List'!J212</f>
        <v>15.75</v>
      </c>
    </row>
    <row r="209" spans="1:10" ht="12" customHeight="1" x14ac:dyDescent="0.25">
      <c r="A209" s="83" t="str">
        <f>'Total Price List'!A213</f>
        <v>G Data</v>
      </c>
      <c r="B209" s="4">
        <f>'Total Price List'!B213</f>
        <v>20616</v>
      </c>
      <c r="C209" s="3"/>
      <c r="D209" s="3" t="str">
        <f>'Total Price List'!D213</f>
        <v>License 1Y GD MS 250+</v>
      </c>
      <c r="E209" s="3" t="str">
        <f>'Total Price List'!E213</f>
        <v>License 249 &lt; x &lt; 500</v>
      </c>
      <c r="F209" s="4" t="str">
        <f>'Total Price List'!F213</f>
        <v>License</v>
      </c>
      <c r="G209" s="3" t="str">
        <f>'Total Price List'!G213</f>
        <v xml:space="preserve">G Data MailSecurity </v>
      </c>
      <c r="H209" s="3" t="str">
        <f>'Total Price List'!H213</f>
        <v>Mail gateway virus+anti spam license 1 year</v>
      </c>
      <c r="I209" s="64">
        <f>'Total Price List'!I213</f>
        <v>12</v>
      </c>
      <c r="J209" s="65">
        <f>'Total Price List'!J213</f>
        <v>12</v>
      </c>
    </row>
    <row r="210" spans="1:10" ht="12" customHeight="1" x14ac:dyDescent="0.25">
      <c r="A210" s="83" t="str">
        <f>'Total Price List'!A214</f>
        <v>G Data</v>
      </c>
      <c r="B210" s="4">
        <f>'Total Price List'!B214</f>
        <v>20617</v>
      </c>
      <c r="C210" s="3"/>
      <c r="D210" s="3" t="str">
        <f>'Total Price List'!D214</f>
        <v>License 1Y GD MS 500+</v>
      </c>
      <c r="E210" s="3" t="str">
        <f>'Total Price List'!E214</f>
        <v>License 499 &lt; x &lt; 1000</v>
      </c>
      <c r="F210" s="4" t="str">
        <f>'Total Price List'!F214</f>
        <v>License</v>
      </c>
      <c r="G210" s="3" t="str">
        <f>'Total Price List'!G214</f>
        <v xml:space="preserve">G Data MailSecurity </v>
      </c>
      <c r="H210" s="3" t="str">
        <f>'Total Price List'!H214</f>
        <v>Mail gateway virus+anti spam license 1 year</v>
      </c>
      <c r="I210" s="64">
        <f>'Total Price List'!I214</f>
        <v>9.3000000000000007</v>
      </c>
      <c r="J210" s="65">
        <f>'Total Price List'!J214</f>
        <v>9.3000000000000007</v>
      </c>
    </row>
    <row r="211" spans="1:10" ht="12" customHeight="1" x14ac:dyDescent="0.25">
      <c r="A211" s="83" t="str">
        <f>'Total Price List'!A215</f>
        <v>G Data</v>
      </c>
      <c r="B211" s="4">
        <f>'Total Price List'!B215</f>
        <v>20618</v>
      </c>
      <c r="C211" s="3"/>
      <c r="D211" s="3" t="str">
        <f>'Total Price List'!D215</f>
        <v>License 1Y GD MS 1000+</v>
      </c>
      <c r="E211" s="3" t="str">
        <f>'Total Price List'!E215</f>
        <v>License 999 &lt; x &lt; 2500</v>
      </c>
      <c r="F211" s="4" t="str">
        <f>'Total Price List'!F215</f>
        <v>License</v>
      </c>
      <c r="G211" s="3" t="str">
        <f>'Total Price List'!G215</f>
        <v xml:space="preserve">G Data MailSecurity </v>
      </c>
      <c r="H211" s="3" t="str">
        <f>'Total Price List'!H215</f>
        <v>Mail gateway virus+anti spam license 1 year</v>
      </c>
      <c r="I211" s="64">
        <f>'Total Price List'!I215</f>
        <v>6.8999999999999995</v>
      </c>
      <c r="J211" s="65">
        <f>'Total Price List'!J215</f>
        <v>6.8999999999999995</v>
      </c>
    </row>
    <row r="212" spans="1:10" ht="12" customHeight="1" x14ac:dyDescent="0.25">
      <c r="A212" s="83" t="str">
        <f>'Total Price List'!A216</f>
        <v>G Data</v>
      </c>
      <c r="B212" s="4">
        <f>'Total Price List'!B216</f>
        <v>20622</v>
      </c>
      <c r="C212" s="3"/>
      <c r="D212" s="3" t="str">
        <f>'Total Price List'!D216</f>
        <v>License 2Y GD MS 10+</v>
      </c>
      <c r="E212" s="3" t="str">
        <f>'Total Price List'!E216</f>
        <v>License 9 &lt; x &lt; 25</v>
      </c>
      <c r="F212" s="4" t="str">
        <f>'Total Price List'!F216</f>
        <v>License</v>
      </c>
      <c r="G212" s="3" t="str">
        <f>'Total Price List'!G216</f>
        <v xml:space="preserve">G Data MailSecurity </v>
      </c>
      <c r="H212" s="3" t="str">
        <f>'Total Price List'!H216</f>
        <v>Mail gateway virus+anti spam license 2 years</v>
      </c>
      <c r="I212" s="64">
        <f>'Total Price List'!I216</f>
        <v>28.125</v>
      </c>
      <c r="J212" s="65">
        <f>'Total Price List'!J216</f>
        <v>28.125</v>
      </c>
    </row>
    <row r="213" spans="1:10" ht="12" customHeight="1" x14ac:dyDescent="0.25">
      <c r="A213" s="83" t="str">
        <f>'Total Price List'!A217</f>
        <v>G Data</v>
      </c>
      <c r="B213" s="4">
        <f>'Total Price List'!B217</f>
        <v>20623</v>
      </c>
      <c r="C213" s="3"/>
      <c r="D213" s="3" t="str">
        <f>'Total Price List'!D217</f>
        <v>License 2Y GD MS 25+</v>
      </c>
      <c r="E213" s="3" t="str">
        <f>'Total Price List'!E217</f>
        <v>License 24 &lt; x &lt; 50</v>
      </c>
      <c r="F213" s="4" t="str">
        <f>'Total Price List'!F217</f>
        <v>License</v>
      </c>
      <c r="G213" s="3" t="str">
        <f>'Total Price List'!G217</f>
        <v xml:space="preserve">G Data MailSecurity </v>
      </c>
      <c r="H213" s="3" t="str">
        <f>'Total Price List'!H217</f>
        <v>Mail gateway virus+anti spam license 2 years</v>
      </c>
      <c r="I213" s="64">
        <f>'Total Price List'!I217</f>
        <v>24.5625</v>
      </c>
      <c r="J213" s="65">
        <f>'Total Price List'!J217</f>
        <v>24.5625</v>
      </c>
    </row>
    <row r="214" spans="1:10" ht="12" customHeight="1" x14ac:dyDescent="0.25">
      <c r="A214" s="83" t="str">
        <f>'Total Price List'!A218</f>
        <v>G Data</v>
      </c>
      <c r="B214" s="4">
        <f>'Total Price List'!B218</f>
        <v>20624</v>
      </c>
      <c r="C214" s="3"/>
      <c r="D214" s="3" t="str">
        <f>'Total Price List'!D218</f>
        <v>License 2Y GD MS 50+</v>
      </c>
      <c r="E214" s="3" t="str">
        <f>'Total Price List'!E218</f>
        <v>License 49 &lt; x &lt; 100</v>
      </c>
      <c r="F214" s="4" t="str">
        <f>'Total Price List'!F218</f>
        <v>License</v>
      </c>
      <c r="G214" s="3" t="str">
        <f>'Total Price List'!G218</f>
        <v xml:space="preserve">G Data MailSecurity </v>
      </c>
      <c r="H214" s="3" t="str">
        <f>'Total Price List'!H218</f>
        <v>Mail gateway virus+anti spam license 2 years</v>
      </c>
      <c r="I214" s="64">
        <f>'Total Price List'!I218</f>
        <v>21.9375</v>
      </c>
      <c r="J214" s="65">
        <f>'Total Price List'!J218</f>
        <v>21.9375</v>
      </c>
    </row>
    <row r="215" spans="1:10" ht="12" customHeight="1" x14ac:dyDescent="0.25">
      <c r="A215" s="83" t="str">
        <f>'Total Price List'!A219</f>
        <v>G Data</v>
      </c>
      <c r="B215" s="4">
        <f>'Total Price List'!B219</f>
        <v>20625</v>
      </c>
      <c r="C215" s="3"/>
      <c r="D215" s="3" t="str">
        <f>'Total Price List'!D219</f>
        <v>License 2Y GD MS 100+</v>
      </c>
      <c r="E215" s="3" t="str">
        <f>'Total Price List'!E219</f>
        <v>License 99 &lt; x &lt; 250</v>
      </c>
      <c r="F215" s="4" t="str">
        <f>'Total Price List'!F219</f>
        <v>License</v>
      </c>
      <c r="G215" s="3" t="str">
        <f>'Total Price List'!G219</f>
        <v xml:space="preserve">G Data MailSecurity </v>
      </c>
      <c r="H215" s="3" t="str">
        <f>'Total Price List'!H219</f>
        <v>Mail gateway virus+anti spam license 2 years</v>
      </c>
      <c r="I215" s="64">
        <f>'Total Price List'!I219</f>
        <v>18.8475</v>
      </c>
      <c r="J215" s="65">
        <f>'Total Price List'!J219</f>
        <v>18.8475</v>
      </c>
    </row>
    <row r="216" spans="1:10" ht="12" customHeight="1" x14ac:dyDescent="0.25">
      <c r="A216" s="83" t="str">
        <f>'Total Price List'!A220</f>
        <v>G Data</v>
      </c>
      <c r="B216" s="4">
        <f>'Total Price List'!B220</f>
        <v>20626</v>
      </c>
      <c r="C216" s="3"/>
      <c r="D216" s="3" t="str">
        <f>'Total Price List'!D220</f>
        <v>License 2Y GD MS 250+</v>
      </c>
      <c r="E216" s="3" t="str">
        <f>'Total Price List'!E220</f>
        <v>License 249 &lt; x &lt; 500</v>
      </c>
      <c r="F216" s="4" t="str">
        <f>'Total Price List'!F220</f>
        <v>License</v>
      </c>
      <c r="G216" s="3" t="str">
        <f>'Total Price List'!G220</f>
        <v xml:space="preserve">G Data MailSecurity </v>
      </c>
      <c r="H216" s="3" t="str">
        <f>'Total Price List'!H220</f>
        <v>Mail gateway virus+anti spam license 2 years</v>
      </c>
      <c r="I216" s="64">
        <f>'Total Price List'!I220</f>
        <v>14.962499999999999</v>
      </c>
      <c r="J216" s="65">
        <f>'Total Price List'!J220</f>
        <v>14.962499999999999</v>
      </c>
    </row>
    <row r="217" spans="1:10" ht="12" customHeight="1" x14ac:dyDescent="0.25">
      <c r="A217" s="83" t="str">
        <f>'Total Price List'!A221</f>
        <v>G Data</v>
      </c>
      <c r="B217" s="4">
        <f>'Total Price List'!B221</f>
        <v>20627</v>
      </c>
      <c r="C217" s="3"/>
      <c r="D217" s="3" t="str">
        <f>'Total Price List'!D221</f>
        <v>License 2Y GD MS 500+</v>
      </c>
      <c r="E217" s="3" t="str">
        <f>'Total Price List'!E221</f>
        <v>License 499 &lt; x &lt; 1000</v>
      </c>
      <c r="F217" s="4" t="str">
        <f>'Total Price List'!F221</f>
        <v>License</v>
      </c>
      <c r="G217" s="3" t="str">
        <f>'Total Price List'!G221</f>
        <v xml:space="preserve">G Data MailSecurity </v>
      </c>
      <c r="H217" s="3" t="str">
        <f>'Total Price List'!H221</f>
        <v>Mail gateway virus+anti spam license 2 years</v>
      </c>
      <c r="I217" s="64">
        <f>'Total Price List'!I221</f>
        <v>11.272499999999999</v>
      </c>
      <c r="J217" s="65">
        <f>'Total Price List'!J221</f>
        <v>11.272499999999999</v>
      </c>
    </row>
    <row r="218" spans="1:10" ht="12" customHeight="1" x14ac:dyDescent="0.25">
      <c r="A218" s="83" t="str">
        <f>'Total Price List'!A222</f>
        <v>G Data</v>
      </c>
      <c r="B218" s="4">
        <f>'Total Price List'!B222</f>
        <v>20628</v>
      </c>
      <c r="C218" s="3"/>
      <c r="D218" s="3" t="str">
        <f>'Total Price List'!D222</f>
        <v>License 2Y GD MS 1000+</v>
      </c>
      <c r="E218" s="3" t="str">
        <f>'Total Price List'!E222</f>
        <v>License 999 &lt; x &lt; 2500</v>
      </c>
      <c r="F218" s="4" t="str">
        <f>'Total Price List'!F222</f>
        <v>License</v>
      </c>
      <c r="G218" s="3" t="str">
        <f>'Total Price List'!G222</f>
        <v xml:space="preserve">G Data MailSecurity </v>
      </c>
      <c r="H218" s="3" t="str">
        <f>'Total Price List'!H222</f>
        <v>Mail gateway virus+anti spam license 2 years</v>
      </c>
      <c r="I218" s="64">
        <f>'Total Price List'!I222</f>
        <v>8.5500000000000007</v>
      </c>
      <c r="J218" s="65">
        <f>'Total Price List'!J222</f>
        <v>8.5500000000000007</v>
      </c>
    </row>
    <row r="219" spans="1:10" ht="12" customHeight="1" x14ac:dyDescent="0.25">
      <c r="A219" s="83" t="str">
        <f>'Total Price List'!A223</f>
        <v>G Data</v>
      </c>
      <c r="B219" s="4">
        <f>'Total Price List'!B223</f>
        <v>20632</v>
      </c>
      <c r="C219" s="3"/>
      <c r="D219" s="3" t="str">
        <f>'Total Price List'!D223</f>
        <v>License 3Y GD MS 10+</v>
      </c>
      <c r="E219" s="3" t="str">
        <f>'Total Price List'!E223</f>
        <v>License 9 &lt; x &lt; 25</v>
      </c>
      <c r="F219" s="4" t="str">
        <f>'Total Price List'!F223</f>
        <v>License</v>
      </c>
      <c r="G219" s="3" t="str">
        <f>'Total Price List'!G223</f>
        <v xml:space="preserve">G Data MailSecurity </v>
      </c>
      <c r="H219" s="3" t="str">
        <f>'Total Price List'!H223</f>
        <v>Mail gateway virus+anti spam license 3 years</v>
      </c>
      <c r="I219" s="64">
        <f>'Total Price List'!I223</f>
        <v>34.5</v>
      </c>
      <c r="J219" s="65">
        <f>'Total Price List'!J223</f>
        <v>34.5</v>
      </c>
    </row>
    <row r="220" spans="1:10" ht="12" customHeight="1" x14ac:dyDescent="0.25">
      <c r="A220" s="83" t="str">
        <f>'Total Price List'!A224</f>
        <v>G Data</v>
      </c>
      <c r="B220" s="4">
        <f>'Total Price List'!B224</f>
        <v>20633</v>
      </c>
      <c r="C220" s="3"/>
      <c r="D220" s="3" t="str">
        <f>'Total Price List'!D224</f>
        <v>License 3Y GD MS 25+</v>
      </c>
      <c r="E220" s="3" t="str">
        <f>'Total Price List'!E224</f>
        <v>License 24 &lt; x &lt; 50</v>
      </c>
      <c r="F220" s="4" t="str">
        <f>'Total Price List'!F224</f>
        <v>License</v>
      </c>
      <c r="G220" s="3" t="str">
        <f>'Total Price List'!G224</f>
        <v xml:space="preserve">G Data MailSecurity </v>
      </c>
      <c r="H220" s="3" t="str">
        <f>'Total Price List'!H224</f>
        <v>Mail gateway virus+anti spam license 3 years</v>
      </c>
      <c r="I220" s="64">
        <f>'Total Price List'!I224</f>
        <v>30.75</v>
      </c>
      <c r="J220" s="65">
        <f>'Total Price List'!J224</f>
        <v>30.75</v>
      </c>
    </row>
    <row r="221" spans="1:10" ht="12" customHeight="1" x14ac:dyDescent="0.25">
      <c r="A221" s="83" t="str">
        <f>'Total Price List'!A225</f>
        <v>G Data</v>
      </c>
      <c r="B221" s="4">
        <f>'Total Price List'!B225</f>
        <v>20634</v>
      </c>
      <c r="C221" s="3"/>
      <c r="D221" s="3" t="str">
        <f>'Total Price List'!D225</f>
        <v>License 3Y GD MS 50+</v>
      </c>
      <c r="E221" s="3" t="str">
        <f>'Total Price List'!E225</f>
        <v>License 49 &lt; x &lt; 100</v>
      </c>
      <c r="F221" s="4" t="str">
        <f>'Total Price List'!F225</f>
        <v>License</v>
      </c>
      <c r="G221" s="3" t="str">
        <f>'Total Price List'!G225</f>
        <v xml:space="preserve">G Data MailSecurity </v>
      </c>
      <c r="H221" s="3" t="str">
        <f>'Total Price List'!H225</f>
        <v>Mail gateway virus+anti spam license 3 years</v>
      </c>
      <c r="I221" s="64">
        <f>'Total Price List'!I225</f>
        <v>27.75</v>
      </c>
      <c r="J221" s="65">
        <f>'Total Price List'!J225</f>
        <v>27.75</v>
      </c>
    </row>
    <row r="222" spans="1:10" ht="12" customHeight="1" x14ac:dyDescent="0.25">
      <c r="A222" s="83" t="str">
        <f>'Total Price List'!A226</f>
        <v>G Data</v>
      </c>
      <c r="B222" s="4">
        <f>'Total Price List'!B226</f>
        <v>20635</v>
      </c>
      <c r="C222" s="3"/>
      <c r="D222" s="3" t="str">
        <f>'Total Price List'!D226</f>
        <v>License 3Y GD MS 100+</v>
      </c>
      <c r="E222" s="3" t="str">
        <f>'Total Price List'!E226</f>
        <v>License 99 &lt; x &lt; 250</v>
      </c>
      <c r="F222" s="4" t="str">
        <f>'Total Price List'!F226</f>
        <v>License</v>
      </c>
      <c r="G222" s="3" t="str">
        <f>'Total Price List'!G226</f>
        <v xml:space="preserve">G Data MailSecurity </v>
      </c>
      <c r="H222" s="3" t="str">
        <f>'Total Price List'!H226</f>
        <v>Mail gateway virus+anti spam license 3 years</v>
      </c>
      <c r="I222" s="64">
        <f>'Total Price List'!I226</f>
        <v>24.375</v>
      </c>
      <c r="J222" s="65">
        <f>'Total Price List'!J226</f>
        <v>24.375</v>
      </c>
    </row>
    <row r="223" spans="1:10" ht="12" customHeight="1" x14ac:dyDescent="0.25">
      <c r="A223" s="83" t="str">
        <f>'Total Price List'!A227</f>
        <v>G Data</v>
      </c>
      <c r="B223" s="4">
        <f>'Total Price List'!B227</f>
        <v>20636</v>
      </c>
      <c r="C223" s="3"/>
      <c r="D223" s="3" t="str">
        <f>'Total Price List'!D227</f>
        <v>License 3Y GD MS 250+</v>
      </c>
      <c r="E223" s="3" t="str">
        <f>'Total Price List'!E227</f>
        <v>License 249 &lt; x &lt; 500</v>
      </c>
      <c r="F223" s="4" t="str">
        <f>'Total Price List'!F227</f>
        <v>License</v>
      </c>
      <c r="G223" s="3" t="str">
        <f>'Total Price List'!G227</f>
        <v xml:space="preserve">G Data MailSecurity </v>
      </c>
      <c r="H223" s="3" t="str">
        <f>'Total Price List'!H227</f>
        <v>Mail gateway virus+anti spam license 3 years</v>
      </c>
      <c r="I223" s="64">
        <f>'Total Price List'!I227</f>
        <v>19.5</v>
      </c>
      <c r="J223" s="65">
        <f>'Total Price List'!J227</f>
        <v>19.5</v>
      </c>
    </row>
    <row r="224" spans="1:10" ht="12" customHeight="1" x14ac:dyDescent="0.25">
      <c r="A224" s="83" t="str">
        <f>'Total Price List'!A228</f>
        <v>G Data</v>
      </c>
      <c r="B224" s="4">
        <f>'Total Price List'!B228</f>
        <v>20637</v>
      </c>
      <c r="C224" s="3"/>
      <c r="D224" s="3" t="str">
        <f>'Total Price List'!D228</f>
        <v>License 3Y GD MS 500+</v>
      </c>
      <c r="E224" s="3" t="str">
        <f>'Total Price List'!E228</f>
        <v>License 499 &lt; x &lt; 1000</v>
      </c>
      <c r="F224" s="4" t="str">
        <f>'Total Price List'!F228</f>
        <v>License</v>
      </c>
      <c r="G224" s="3" t="str">
        <f>'Total Price List'!G228</f>
        <v xml:space="preserve">G Data MailSecurity </v>
      </c>
      <c r="H224" s="3" t="str">
        <f>'Total Price List'!H228</f>
        <v>Mail gateway virus+anti spam license 3 years</v>
      </c>
      <c r="I224" s="64">
        <f>'Total Price List'!I228</f>
        <v>15.862499999999999</v>
      </c>
      <c r="J224" s="65">
        <f>'Total Price List'!J228</f>
        <v>15.862499999999999</v>
      </c>
    </row>
    <row r="225" spans="1:10" ht="12" customHeight="1" thickBot="1" x14ac:dyDescent="0.3">
      <c r="A225" s="84" t="str">
        <f>'Total Price List'!A229</f>
        <v>G Data</v>
      </c>
      <c r="B225" s="24">
        <f>'Total Price List'!B229</f>
        <v>20638</v>
      </c>
      <c r="C225" s="25"/>
      <c r="D225" s="25" t="str">
        <f>'Total Price List'!D229</f>
        <v>License 3Y GD MS 1000+</v>
      </c>
      <c r="E225" s="25" t="str">
        <f>'Total Price List'!E229</f>
        <v>License 999 &lt; x &lt; 2500</v>
      </c>
      <c r="F225" s="24" t="str">
        <f>'Total Price List'!F229</f>
        <v>License</v>
      </c>
      <c r="G225" s="25" t="str">
        <f>'Total Price List'!G229</f>
        <v xml:space="preserve">G Data MailSecurity </v>
      </c>
      <c r="H225" s="25" t="str">
        <f>'Total Price List'!H229</f>
        <v>Mail gateway virus+anti spam license 3 years</v>
      </c>
      <c r="I225" s="66">
        <f>'Total Price List'!I229</f>
        <v>12.975000000000001</v>
      </c>
      <c r="J225" s="67">
        <f>'Total Price List'!J229</f>
        <v>12.975000000000001</v>
      </c>
    </row>
    <row r="226" spans="1:10" ht="12" customHeight="1" x14ac:dyDescent="0.25">
      <c r="A226" s="99" t="str">
        <f>'Total Price List'!A230</f>
        <v>G Data MailSecurity network license renewal</v>
      </c>
      <c r="B226" s="99"/>
      <c r="C226" s="99"/>
      <c r="D226" s="99"/>
      <c r="E226" s="99"/>
      <c r="F226" s="99"/>
      <c r="G226" s="99"/>
      <c r="H226" s="99"/>
      <c r="I226" s="99"/>
      <c r="J226" s="100"/>
    </row>
    <row r="227" spans="1:10" ht="12" customHeight="1" x14ac:dyDescent="0.25">
      <c r="A227" s="85" t="str">
        <f>'Total Price List'!A231</f>
        <v>G Data</v>
      </c>
      <c r="B227" s="7">
        <f>'Total Price List'!B231</f>
        <v>20662</v>
      </c>
      <c r="C227" s="6"/>
      <c r="D227" s="6" t="str">
        <f>'Total Price List'!D231</f>
        <v>Renweal 1Y GD MS 10+</v>
      </c>
      <c r="E227" s="6" t="str">
        <f>'Total Price List'!E231</f>
        <v>Renewal 9 &lt; x &lt; 25</v>
      </c>
      <c r="F227" s="7" t="str">
        <f>'Total Price List'!F231</f>
        <v>Renewal</v>
      </c>
      <c r="G227" s="6" t="str">
        <f>'Total Price List'!G231</f>
        <v xml:space="preserve">G Data MailSecurity </v>
      </c>
      <c r="H227" s="6" t="str">
        <f>'Total Price List'!H231</f>
        <v>renewal Mail gateway virus+anti spam license 1 year</v>
      </c>
      <c r="I227" s="77">
        <f>'Total Price List'!I231</f>
        <v>8</v>
      </c>
      <c r="J227" s="72">
        <f>'Total Price List'!J231</f>
        <v>8</v>
      </c>
    </row>
    <row r="228" spans="1:10" ht="12" customHeight="1" x14ac:dyDescent="0.25">
      <c r="A228" s="85" t="str">
        <f>'Total Price List'!A232</f>
        <v>G Data</v>
      </c>
      <c r="B228" s="7">
        <f>'Total Price List'!B232</f>
        <v>20663</v>
      </c>
      <c r="C228" s="6"/>
      <c r="D228" s="6" t="str">
        <f>'Total Price List'!D232</f>
        <v>Renewal 1Y GD MS 25+</v>
      </c>
      <c r="E228" s="6" t="str">
        <f>'Total Price List'!E232</f>
        <v>Renewal 24 &lt; x &lt; 50</v>
      </c>
      <c r="F228" s="7" t="str">
        <f>'Total Price List'!F232</f>
        <v>Renewal</v>
      </c>
      <c r="G228" s="6" t="str">
        <f>'Total Price List'!G232</f>
        <v xml:space="preserve">G Data MailSecurity </v>
      </c>
      <c r="H228" s="6" t="str">
        <f>'Total Price List'!H232</f>
        <v>renewal Mail gateway virus+anti spam license 1 year</v>
      </c>
      <c r="I228" s="77">
        <f>'Total Price List'!I232</f>
        <v>7.2</v>
      </c>
      <c r="J228" s="72">
        <f>'Total Price List'!J232</f>
        <v>7.2</v>
      </c>
    </row>
    <row r="229" spans="1:10" ht="12" customHeight="1" x14ac:dyDescent="0.25">
      <c r="A229" s="85" t="str">
        <f>'Total Price List'!A233</f>
        <v>G Data</v>
      </c>
      <c r="B229" s="7">
        <f>'Total Price List'!B233</f>
        <v>20664</v>
      </c>
      <c r="C229" s="6"/>
      <c r="D229" s="6" t="str">
        <f>'Total Price List'!D233</f>
        <v>Renewal 1Y GD MS 50+</v>
      </c>
      <c r="E229" s="6" t="str">
        <f>'Total Price List'!E233</f>
        <v>Renewal 49 &lt; x &lt; 100</v>
      </c>
      <c r="F229" s="7" t="str">
        <f>'Total Price List'!F233</f>
        <v>Renewal</v>
      </c>
      <c r="G229" s="6" t="str">
        <f>'Total Price List'!G233</f>
        <v xml:space="preserve">G Data MailSecurity </v>
      </c>
      <c r="H229" s="6" t="str">
        <f>'Total Price List'!H233</f>
        <v>renewal Mail gateway virus+anti spam license 1 year</v>
      </c>
      <c r="I229" s="77">
        <f>'Total Price List'!I233</f>
        <v>6.4</v>
      </c>
      <c r="J229" s="72">
        <f>'Total Price List'!J233</f>
        <v>6.4</v>
      </c>
    </row>
    <row r="230" spans="1:10" ht="12" customHeight="1" x14ac:dyDescent="0.25">
      <c r="A230" s="85" t="str">
        <f>'Total Price List'!A234</f>
        <v>G Data</v>
      </c>
      <c r="B230" s="7">
        <f>'Total Price List'!B234</f>
        <v>20665</v>
      </c>
      <c r="C230" s="6"/>
      <c r="D230" s="6" t="str">
        <f>'Total Price List'!D234</f>
        <v>Renewal 1Y GD MS 100+</v>
      </c>
      <c r="E230" s="6" t="str">
        <f>'Total Price List'!E234</f>
        <v>Renewal 99 &lt; x &lt; 250</v>
      </c>
      <c r="F230" s="7" t="str">
        <f>'Total Price List'!F234</f>
        <v>Renewal</v>
      </c>
      <c r="G230" s="6" t="str">
        <f>'Total Price List'!G234</f>
        <v xml:space="preserve">G Data MailSecurity </v>
      </c>
      <c r="H230" s="6" t="str">
        <f>'Total Price List'!H234</f>
        <v>renewal Mail gateway virus+anti spam license 1 year</v>
      </c>
      <c r="I230" s="77">
        <f>'Total Price List'!I234</f>
        <v>5.6000000000000005</v>
      </c>
      <c r="J230" s="72">
        <f>'Total Price List'!J234</f>
        <v>5.6000000000000005</v>
      </c>
    </row>
    <row r="231" spans="1:10" ht="12" customHeight="1" x14ac:dyDescent="0.25">
      <c r="A231" s="85" t="str">
        <f>'Total Price List'!A235</f>
        <v>G Data</v>
      </c>
      <c r="B231" s="7">
        <f>'Total Price List'!B235</f>
        <v>20666</v>
      </c>
      <c r="C231" s="6"/>
      <c r="D231" s="6" t="str">
        <f>'Total Price List'!D235</f>
        <v>Renewal 1Y GD MS 250+</v>
      </c>
      <c r="E231" s="6" t="str">
        <f>'Total Price List'!E235</f>
        <v>Renewal 249 &lt; x &lt; 500</v>
      </c>
      <c r="F231" s="7" t="str">
        <f>'Total Price List'!F235</f>
        <v>Renewal</v>
      </c>
      <c r="G231" s="6" t="str">
        <f>'Total Price List'!G235</f>
        <v xml:space="preserve">G Data MailSecurity </v>
      </c>
      <c r="H231" s="6" t="str">
        <f>'Total Price List'!H235</f>
        <v>renewal Mail gateway virus+anti spam license 1 year</v>
      </c>
      <c r="I231" s="77">
        <f>'Total Price List'!I235</f>
        <v>4.8000000000000007</v>
      </c>
      <c r="J231" s="72">
        <f>'Total Price List'!J235</f>
        <v>4.8000000000000007</v>
      </c>
    </row>
    <row r="232" spans="1:10" ht="12" customHeight="1" x14ac:dyDescent="0.25">
      <c r="A232" s="85" t="str">
        <f>'Total Price List'!A236</f>
        <v>G Data</v>
      </c>
      <c r="B232" s="7">
        <f>'Total Price List'!B236</f>
        <v>20667</v>
      </c>
      <c r="C232" s="6"/>
      <c r="D232" s="6" t="str">
        <f>'Total Price List'!D236</f>
        <v>Renewal 1Y GD MS 500+</v>
      </c>
      <c r="E232" s="6" t="str">
        <f>'Total Price List'!E236</f>
        <v>Renewal 499 &lt; x &lt; 1000</v>
      </c>
      <c r="F232" s="7" t="str">
        <f>'Total Price List'!F236</f>
        <v>Renewal</v>
      </c>
      <c r="G232" s="6" t="str">
        <f>'Total Price List'!G236</f>
        <v xml:space="preserve">G Data MailSecurity </v>
      </c>
      <c r="H232" s="6" t="str">
        <f>'Total Price List'!H236</f>
        <v>renewal Mail gateway virus+anti spam license 1 year</v>
      </c>
      <c r="I232" s="77">
        <f>'Total Price List'!I236</f>
        <v>4.4000000000000004</v>
      </c>
      <c r="J232" s="72">
        <f>'Total Price List'!J236</f>
        <v>4.4000000000000004</v>
      </c>
    </row>
    <row r="233" spans="1:10" ht="12" customHeight="1" x14ac:dyDescent="0.25">
      <c r="A233" s="85" t="str">
        <f>'Total Price List'!A237</f>
        <v>G Data</v>
      </c>
      <c r="B233" s="7">
        <f>'Total Price List'!B237</f>
        <v>20668</v>
      </c>
      <c r="C233" s="6"/>
      <c r="D233" s="6" t="str">
        <f>'Total Price List'!D237</f>
        <v>Renewal 1Y GD MS 1000+</v>
      </c>
      <c r="E233" s="6" t="str">
        <f>'Total Price List'!E237</f>
        <v>Renewal 999 &lt; x &lt; 2500</v>
      </c>
      <c r="F233" s="7" t="str">
        <f>'Total Price List'!F237</f>
        <v>Renewal</v>
      </c>
      <c r="G233" s="6" t="str">
        <f>'Total Price List'!G237</f>
        <v xml:space="preserve">G Data MailSecurity </v>
      </c>
      <c r="H233" s="6" t="str">
        <f>'Total Price List'!H237</f>
        <v>renewal Mail gateway virus+anti spam license 1 year</v>
      </c>
      <c r="I233" s="77">
        <f>'Total Price List'!I237</f>
        <v>4</v>
      </c>
      <c r="J233" s="72">
        <f>'Total Price List'!J237</f>
        <v>4</v>
      </c>
    </row>
    <row r="234" spans="1:10" ht="12" customHeight="1" x14ac:dyDescent="0.25">
      <c r="A234" s="85" t="str">
        <f>'Total Price List'!A238</f>
        <v>G Data</v>
      </c>
      <c r="B234" s="7">
        <f>'Total Price List'!B238</f>
        <v>20672</v>
      </c>
      <c r="C234" s="6"/>
      <c r="D234" s="6" t="str">
        <f>'Total Price List'!D238</f>
        <v>Renewal 2Y GD MS 10+</v>
      </c>
      <c r="E234" s="6" t="str">
        <f>'Total Price List'!E238</f>
        <v>Renewal 9 &lt; x &lt; 25</v>
      </c>
      <c r="F234" s="7" t="str">
        <f>'Total Price List'!F238</f>
        <v>Renewal</v>
      </c>
      <c r="G234" s="6" t="str">
        <f>'Total Price List'!G238</f>
        <v xml:space="preserve">G Data MailSecurity </v>
      </c>
      <c r="H234" s="6" t="str">
        <f>'Total Price List'!H238</f>
        <v>renewal Mail gateway virus+anti spam license 2 years</v>
      </c>
      <c r="I234" s="77">
        <f>'Total Price List'!I238</f>
        <v>14</v>
      </c>
      <c r="J234" s="72">
        <f>'Total Price List'!J238</f>
        <v>14</v>
      </c>
    </row>
    <row r="235" spans="1:10" ht="12" customHeight="1" x14ac:dyDescent="0.25">
      <c r="A235" s="85" t="str">
        <f>'Total Price List'!A239</f>
        <v>G Data</v>
      </c>
      <c r="B235" s="7">
        <f>'Total Price List'!B239</f>
        <v>20673</v>
      </c>
      <c r="C235" s="6"/>
      <c r="D235" s="6" t="str">
        <f>'Total Price List'!D239</f>
        <v>Renewal 2Y GD MS 25+</v>
      </c>
      <c r="E235" s="6" t="str">
        <f>'Total Price List'!E239</f>
        <v>Renewal 24 &lt; x &lt; 50</v>
      </c>
      <c r="F235" s="7" t="str">
        <f>'Total Price List'!F239</f>
        <v>Renewal</v>
      </c>
      <c r="G235" s="6" t="str">
        <f>'Total Price List'!G239</f>
        <v xml:space="preserve">G Data MailSecurity </v>
      </c>
      <c r="H235" s="6" t="str">
        <f>'Total Price List'!H239</f>
        <v>renewal Mail gateway virus+anti spam license 2 years</v>
      </c>
      <c r="I235" s="77">
        <f>'Total Price List'!I239</f>
        <v>12.600000000000001</v>
      </c>
      <c r="J235" s="72">
        <f>'Total Price List'!J239</f>
        <v>12.600000000000001</v>
      </c>
    </row>
    <row r="236" spans="1:10" ht="12" customHeight="1" x14ac:dyDescent="0.25">
      <c r="A236" s="85" t="str">
        <f>'Total Price List'!A240</f>
        <v>G Data</v>
      </c>
      <c r="B236" s="7">
        <f>'Total Price List'!B240</f>
        <v>20674</v>
      </c>
      <c r="C236" s="6"/>
      <c r="D236" s="6" t="str">
        <f>'Total Price List'!D240</f>
        <v>Renewal 2Y GD MS 50+</v>
      </c>
      <c r="E236" s="6" t="str">
        <f>'Total Price List'!E240</f>
        <v>Renewal 49 &lt; x &lt; 100</v>
      </c>
      <c r="F236" s="7" t="str">
        <f>'Total Price List'!F240</f>
        <v>Renewal</v>
      </c>
      <c r="G236" s="6" t="str">
        <f>'Total Price List'!G240</f>
        <v xml:space="preserve">G Data MailSecurity </v>
      </c>
      <c r="H236" s="6" t="str">
        <f>'Total Price List'!H240</f>
        <v>renewal Mail gateway virus+anti spam license 2 years</v>
      </c>
      <c r="I236" s="77">
        <f>'Total Price List'!I240</f>
        <v>11.200000000000001</v>
      </c>
      <c r="J236" s="72">
        <f>'Total Price List'!J240</f>
        <v>11.200000000000001</v>
      </c>
    </row>
    <row r="237" spans="1:10" ht="12" customHeight="1" x14ac:dyDescent="0.25">
      <c r="A237" s="85" t="str">
        <f>'Total Price List'!A241</f>
        <v>G Data</v>
      </c>
      <c r="B237" s="7">
        <f>'Total Price List'!B241</f>
        <v>20675</v>
      </c>
      <c r="C237" s="6"/>
      <c r="D237" s="6" t="str">
        <f>'Total Price List'!D241</f>
        <v>Renewal 2Y GD MS 100+</v>
      </c>
      <c r="E237" s="6" t="str">
        <f>'Total Price List'!E241</f>
        <v>Renewal 99 &lt; x &lt; 250</v>
      </c>
      <c r="F237" s="7" t="str">
        <f>'Total Price List'!F241</f>
        <v>Renewal</v>
      </c>
      <c r="G237" s="6" t="str">
        <f>'Total Price List'!G241</f>
        <v xml:space="preserve">G Data MailSecurity </v>
      </c>
      <c r="H237" s="6" t="str">
        <f>'Total Price List'!H241</f>
        <v>renewal Mail gateway virus+anti spam license 2 years</v>
      </c>
      <c r="I237" s="77">
        <f>'Total Price List'!I241</f>
        <v>9.8000000000000007</v>
      </c>
      <c r="J237" s="72">
        <f>'Total Price List'!J241</f>
        <v>9.8000000000000007</v>
      </c>
    </row>
    <row r="238" spans="1:10" ht="12" customHeight="1" x14ac:dyDescent="0.25">
      <c r="A238" s="85" t="str">
        <f>'Total Price List'!A242</f>
        <v>G Data</v>
      </c>
      <c r="B238" s="7">
        <f>'Total Price List'!B242</f>
        <v>20676</v>
      </c>
      <c r="C238" s="6"/>
      <c r="D238" s="6" t="str">
        <f>'Total Price List'!D242</f>
        <v>Renewal 2Y GD MS 250+</v>
      </c>
      <c r="E238" s="6" t="str">
        <f>'Total Price List'!E242</f>
        <v>Renewal 249 &lt; x &lt; 500</v>
      </c>
      <c r="F238" s="7" t="str">
        <f>'Total Price List'!F242</f>
        <v>Renewal</v>
      </c>
      <c r="G238" s="6" t="str">
        <f>'Total Price List'!G242</f>
        <v xml:space="preserve">G Data MailSecurity </v>
      </c>
      <c r="H238" s="6" t="str">
        <f>'Total Price List'!H242</f>
        <v>renewal Mail gateway virus+anti spam license 2 years</v>
      </c>
      <c r="I238" s="77">
        <f>'Total Price List'!I242</f>
        <v>8.4</v>
      </c>
      <c r="J238" s="72">
        <f>'Total Price List'!J242</f>
        <v>8.4</v>
      </c>
    </row>
    <row r="239" spans="1:10" ht="12" customHeight="1" x14ac:dyDescent="0.25">
      <c r="A239" s="85" t="str">
        <f>'Total Price List'!A243</f>
        <v>G Data</v>
      </c>
      <c r="B239" s="7">
        <f>'Total Price List'!B243</f>
        <v>20677</v>
      </c>
      <c r="C239" s="6"/>
      <c r="D239" s="6" t="str">
        <f>'Total Price List'!D243</f>
        <v>Renewal 2Y GD MS 500+</v>
      </c>
      <c r="E239" s="6" t="str">
        <f>'Total Price List'!E243</f>
        <v>Renewal 499 &lt; x &lt; 1000</v>
      </c>
      <c r="F239" s="7" t="str">
        <f>'Total Price List'!F243</f>
        <v>Renewal</v>
      </c>
      <c r="G239" s="6" t="str">
        <f>'Total Price List'!G243</f>
        <v xml:space="preserve">G Data MailSecurity </v>
      </c>
      <c r="H239" s="6" t="str">
        <f>'Total Price List'!H243</f>
        <v>renewal Mail gateway virus+anti spam license 2 years</v>
      </c>
      <c r="I239" s="77">
        <f>'Total Price List'!I243</f>
        <v>7.7</v>
      </c>
      <c r="J239" s="72">
        <f>'Total Price List'!J243</f>
        <v>7.7</v>
      </c>
    </row>
    <row r="240" spans="1:10" ht="12" customHeight="1" x14ac:dyDescent="0.25">
      <c r="A240" s="85" t="str">
        <f>'Total Price List'!A244</f>
        <v>G Data</v>
      </c>
      <c r="B240" s="7">
        <f>'Total Price List'!B244</f>
        <v>20678</v>
      </c>
      <c r="C240" s="6"/>
      <c r="D240" s="6" t="str">
        <f>'Total Price List'!D244</f>
        <v>Renewal 2Y GD MS 1000+</v>
      </c>
      <c r="E240" s="6" t="str">
        <f>'Total Price List'!E244</f>
        <v>Renewal 999 &lt; x &lt; 2500</v>
      </c>
      <c r="F240" s="7" t="str">
        <f>'Total Price List'!F244</f>
        <v>Renewal</v>
      </c>
      <c r="G240" s="6" t="str">
        <f>'Total Price List'!G244</f>
        <v xml:space="preserve">G Data MailSecurity </v>
      </c>
      <c r="H240" s="6" t="str">
        <f>'Total Price List'!H244</f>
        <v>renewal Mail gateway virus+anti spam license 2 years</v>
      </c>
      <c r="I240" s="77">
        <f>'Total Price List'!I244</f>
        <v>7.2</v>
      </c>
      <c r="J240" s="72">
        <f>'Total Price List'!J244</f>
        <v>7.2</v>
      </c>
    </row>
    <row r="241" spans="1:10" ht="12" customHeight="1" x14ac:dyDescent="0.25">
      <c r="A241" s="85" t="str">
        <f>'Total Price List'!A245</f>
        <v>G Data</v>
      </c>
      <c r="B241" s="7">
        <f>'Total Price List'!B245</f>
        <v>20682</v>
      </c>
      <c r="C241" s="6"/>
      <c r="D241" s="6" t="str">
        <f>'Total Price List'!D245</f>
        <v>Renewal 3Y GD MS 10+</v>
      </c>
      <c r="E241" s="6" t="str">
        <f>'Total Price List'!E245</f>
        <v>Renewal 9 &lt; x &lt; 25</v>
      </c>
      <c r="F241" s="7" t="str">
        <f>'Total Price List'!F245</f>
        <v>Renewal</v>
      </c>
      <c r="G241" s="6" t="str">
        <f>'Total Price List'!G245</f>
        <v xml:space="preserve">G Data MailSecurity </v>
      </c>
      <c r="H241" s="6" t="str">
        <f>'Total Price List'!H245</f>
        <v>renewal Mail gateway virus+anti spam license 3 years</v>
      </c>
      <c r="I241" s="77">
        <f>'Total Price List'!I245</f>
        <v>20</v>
      </c>
      <c r="J241" s="72">
        <f>'Total Price List'!J245</f>
        <v>20</v>
      </c>
    </row>
    <row r="242" spans="1:10" ht="12" customHeight="1" x14ac:dyDescent="0.25">
      <c r="A242" s="85" t="str">
        <f>'Total Price List'!A246</f>
        <v>G Data</v>
      </c>
      <c r="B242" s="7">
        <f>'Total Price List'!B246</f>
        <v>20683</v>
      </c>
      <c r="C242" s="6"/>
      <c r="D242" s="6" t="str">
        <f>'Total Price List'!D246</f>
        <v>Renewal 3Y GD MS 25+</v>
      </c>
      <c r="E242" s="6" t="str">
        <f>'Total Price List'!E246</f>
        <v>Renewal 24 &lt; x &lt; 50</v>
      </c>
      <c r="F242" s="7" t="str">
        <f>'Total Price List'!F246</f>
        <v>Renewal</v>
      </c>
      <c r="G242" s="6" t="str">
        <f>'Total Price List'!G246</f>
        <v xml:space="preserve">G Data MailSecurity </v>
      </c>
      <c r="H242" s="6" t="str">
        <f>'Total Price List'!H246</f>
        <v>renewal Mail gateway virus+anti spam license 3 years</v>
      </c>
      <c r="I242" s="77">
        <f>'Total Price List'!I246</f>
        <v>18</v>
      </c>
      <c r="J242" s="72">
        <f>'Total Price List'!J246</f>
        <v>18</v>
      </c>
    </row>
    <row r="243" spans="1:10" ht="12" customHeight="1" x14ac:dyDescent="0.25">
      <c r="A243" s="85" t="str">
        <f>'Total Price List'!A247</f>
        <v>G Data</v>
      </c>
      <c r="B243" s="7">
        <f>'Total Price List'!B247</f>
        <v>20684</v>
      </c>
      <c r="C243" s="6"/>
      <c r="D243" s="6" t="str">
        <f>'Total Price List'!D247</f>
        <v>Renewal 3Y GD MS 50+</v>
      </c>
      <c r="E243" s="6" t="str">
        <f>'Total Price List'!E247</f>
        <v>Renewal 49 &lt; x &lt; 100</v>
      </c>
      <c r="F243" s="7" t="str">
        <f>'Total Price List'!F247</f>
        <v>Renewal</v>
      </c>
      <c r="G243" s="6" t="str">
        <f>'Total Price List'!G247</f>
        <v xml:space="preserve">G Data MailSecurity </v>
      </c>
      <c r="H243" s="6" t="str">
        <f>'Total Price List'!H247</f>
        <v>renewal Mail gateway virus+anti spam license 3 years</v>
      </c>
      <c r="I243" s="77">
        <f>'Total Price List'!I247</f>
        <v>16</v>
      </c>
      <c r="J243" s="72">
        <f>'Total Price List'!J247</f>
        <v>16</v>
      </c>
    </row>
    <row r="244" spans="1:10" ht="12" customHeight="1" x14ac:dyDescent="0.25">
      <c r="A244" s="85" t="str">
        <f>'Total Price List'!A248</f>
        <v>G Data</v>
      </c>
      <c r="B244" s="7">
        <f>'Total Price List'!B248</f>
        <v>20685</v>
      </c>
      <c r="C244" s="6"/>
      <c r="D244" s="6" t="str">
        <f>'Total Price List'!D248</f>
        <v>Renewal 3Y GD MS 100+</v>
      </c>
      <c r="E244" s="6" t="str">
        <f>'Total Price List'!E248</f>
        <v>Renewal 99 &lt; x &lt; 250</v>
      </c>
      <c r="F244" s="7" t="str">
        <f>'Total Price List'!F248</f>
        <v>Renewal</v>
      </c>
      <c r="G244" s="6" t="str">
        <f>'Total Price List'!G248</f>
        <v xml:space="preserve">G Data MailSecurity </v>
      </c>
      <c r="H244" s="6" t="str">
        <f>'Total Price List'!H248</f>
        <v>renewal Mail gateway virus+anti spam license 3 years</v>
      </c>
      <c r="I244" s="77">
        <f>'Total Price List'!I248</f>
        <v>14</v>
      </c>
      <c r="J244" s="72">
        <f>'Total Price List'!J248</f>
        <v>14</v>
      </c>
    </row>
    <row r="245" spans="1:10" ht="12" customHeight="1" x14ac:dyDescent="0.25">
      <c r="A245" s="85" t="str">
        <f>'Total Price List'!A249</f>
        <v>G Data</v>
      </c>
      <c r="B245" s="7">
        <f>'Total Price List'!B249</f>
        <v>20686</v>
      </c>
      <c r="C245" s="6"/>
      <c r="D245" s="6" t="str">
        <f>'Total Price List'!D249</f>
        <v>Renewal 3Y GD MS 250+</v>
      </c>
      <c r="E245" s="6" t="str">
        <f>'Total Price List'!E249</f>
        <v>Renewal 249 &lt; x &lt; 500</v>
      </c>
      <c r="F245" s="7" t="str">
        <f>'Total Price List'!F249</f>
        <v>Renewal</v>
      </c>
      <c r="G245" s="6" t="str">
        <f>'Total Price List'!G249</f>
        <v xml:space="preserve">G Data MailSecurity </v>
      </c>
      <c r="H245" s="6" t="str">
        <f>'Total Price List'!H249</f>
        <v>renewal Mail gateway virus+anti spam license 3 years</v>
      </c>
      <c r="I245" s="77">
        <f>'Total Price List'!I249</f>
        <v>12</v>
      </c>
      <c r="J245" s="72">
        <f>'Total Price List'!J249</f>
        <v>12</v>
      </c>
    </row>
    <row r="246" spans="1:10" ht="12" customHeight="1" x14ac:dyDescent="0.25">
      <c r="A246" s="85" t="str">
        <f>'Total Price List'!A250</f>
        <v>G Data</v>
      </c>
      <c r="B246" s="7">
        <f>'Total Price List'!B250</f>
        <v>20687</v>
      </c>
      <c r="C246" s="6"/>
      <c r="D246" s="6" t="str">
        <f>'Total Price List'!D250</f>
        <v>Renewal 3Y GD MS 500+</v>
      </c>
      <c r="E246" s="6" t="str">
        <f>'Total Price List'!E250</f>
        <v>Renewal 499 &lt; x &lt; 1000</v>
      </c>
      <c r="F246" s="7" t="str">
        <f>'Total Price List'!F250</f>
        <v>Renewal</v>
      </c>
      <c r="G246" s="6" t="str">
        <f>'Total Price List'!G250</f>
        <v xml:space="preserve">G Data MailSecurity </v>
      </c>
      <c r="H246" s="6" t="str">
        <f>'Total Price List'!H250</f>
        <v>renewal Mail gateway virus+anti spam license 3 years</v>
      </c>
      <c r="I246" s="77">
        <f>'Total Price List'!I250</f>
        <v>11</v>
      </c>
      <c r="J246" s="72">
        <f>'Total Price List'!J250</f>
        <v>11</v>
      </c>
    </row>
    <row r="247" spans="1:10" ht="12" customHeight="1" thickBot="1" x14ac:dyDescent="0.3">
      <c r="A247" s="86" t="str">
        <f>'Total Price List'!A251</f>
        <v>G Data</v>
      </c>
      <c r="B247" s="20">
        <f>'Total Price List'!B251</f>
        <v>20688</v>
      </c>
      <c r="C247" s="21"/>
      <c r="D247" s="21" t="str">
        <f>'Total Price List'!D251</f>
        <v>Renewal 3Y GD MS 1000+</v>
      </c>
      <c r="E247" s="21" t="str">
        <f>'Total Price List'!E251</f>
        <v>Renewal 999 &lt; x &lt; 2500</v>
      </c>
      <c r="F247" s="20" t="str">
        <f>'Total Price List'!F251</f>
        <v>Renewal</v>
      </c>
      <c r="G247" s="21" t="str">
        <f>'Total Price List'!G251</f>
        <v xml:space="preserve">G Data MailSecurity </v>
      </c>
      <c r="H247" s="21" t="str">
        <f>'Total Price List'!H251</f>
        <v>renewal Mail gateway virus+anti spam license 3 years</v>
      </c>
      <c r="I247" s="78">
        <f>'Total Price List'!I251</f>
        <v>9.6000000000000014</v>
      </c>
      <c r="J247" s="73">
        <f>'Total Price List'!J251</f>
        <v>9.6000000000000014</v>
      </c>
    </row>
    <row r="248" spans="1:10" ht="12" customHeight="1" x14ac:dyDescent="0.25">
      <c r="A248" s="99" t="str">
        <f>'Total Price List'!A252</f>
        <v>G Data EndpointProtection Business network license</v>
      </c>
      <c r="B248" s="99"/>
      <c r="C248" s="99"/>
      <c r="D248" s="99"/>
      <c r="E248" s="99"/>
      <c r="F248" s="99"/>
      <c r="G248" s="99"/>
      <c r="H248" s="99"/>
      <c r="I248" s="99"/>
      <c r="J248" s="100"/>
    </row>
    <row r="249" spans="1:10" ht="12" customHeight="1" x14ac:dyDescent="0.25">
      <c r="A249" s="83" t="str">
        <f>'Total Price List'!A253</f>
        <v>G Data</v>
      </c>
      <c r="B249" s="4">
        <f>'Total Price List'!B253</f>
        <v>20911</v>
      </c>
      <c r="C249" s="3"/>
      <c r="D249" s="3" t="str">
        <f>'Total Price List'!D253</f>
        <v>License 1Y GD EP BUS -9</v>
      </c>
      <c r="E249" s="3" t="str">
        <f>'Total Price List'!E253</f>
        <v>License 4 &lt; x &lt; 10</v>
      </c>
      <c r="F249" s="4" t="str">
        <f>'Total Price List'!F253</f>
        <v>License</v>
      </c>
      <c r="G249" s="3" t="str">
        <f>'Total Price List'!G253</f>
        <v>G Data EndpointProtection Business</v>
      </c>
      <c r="H249" s="3" t="str">
        <f>'Total Price List'!H253</f>
        <v>network license 1 year</v>
      </c>
      <c r="I249" s="64">
        <f>'Total Price List'!I253</f>
        <v>45</v>
      </c>
      <c r="J249" s="65">
        <f>'Total Price List'!J253</f>
        <v>45</v>
      </c>
    </row>
    <row r="250" spans="1:10" ht="12" customHeight="1" x14ac:dyDescent="0.25">
      <c r="A250" s="83" t="str">
        <f>'Total Price List'!A254</f>
        <v>G Data</v>
      </c>
      <c r="B250" s="4">
        <f>'Total Price List'!B254</f>
        <v>20912</v>
      </c>
      <c r="C250" s="3"/>
      <c r="D250" s="3" t="str">
        <f>'Total Price List'!D254</f>
        <v>License 1Y GD EP BUS 10+</v>
      </c>
      <c r="E250" s="3" t="str">
        <f>'Total Price List'!E254</f>
        <v>License 9 &lt; x &lt; 25</v>
      </c>
      <c r="F250" s="4" t="str">
        <f>'Total Price List'!F254</f>
        <v>License</v>
      </c>
      <c r="G250" s="3" t="str">
        <f>'Total Price List'!G254</f>
        <v>G Data EndpointProtection Business</v>
      </c>
      <c r="H250" s="3" t="str">
        <f>'Total Price List'!H254</f>
        <v>network license 1 year</v>
      </c>
      <c r="I250" s="64">
        <f>'Total Price List'!I254</f>
        <v>37.799999999999997</v>
      </c>
      <c r="J250" s="65">
        <f>'Total Price List'!J254</f>
        <v>37.799999999999997</v>
      </c>
    </row>
    <row r="251" spans="1:10" ht="12" customHeight="1" x14ac:dyDescent="0.25">
      <c r="A251" s="83" t="str">
        <f>'Total Price List'!A255</f>
        <v>G Data</v>
      </c>
      <c r="B251" s="4">
        <f>'Total Price List'!B255</f>
        <v>20913</v>
      </c>
      <c r="C251" s="3"/>
      <c r="D251" s="3" t="str">
        <f>'Total Price List'!D255</f>
        <v>License 1Y GD EP BUS 25+</v>
      </c>
      <c r="E251" s="3" t="str">
        <f>'Total Price List'!E255</f>
        <v>License 24 &lt; x &lt; 50</v>
      </c>
      <c r="F251" s="4" t="str">
        <f>'Total Price List'!F255</f>
        <v>License</v>
      </c>
      <c r="G251" s="3" t="str">
        <f>'Total Price List'!G255</f>
        <v>G Data EndpointProtection Business</v>
      </c>
      <c r="H251" s="3" t="str">
        <f>'Total Price List'!H255</f>
        <v>network license 1 year</v>
      </c>
      <c r="I251" s="64">
        <f>'Total Price List'!I255</f>
        <v>30.15</v>
      </c>
      <c r="J251" s="65">
        <f>'Total Price List'!J255</f>
        <v>30.15</v>
      </c>
    </row>
    <row r="252" spans="1:10" ht="12" customHeight="1" x14ac:dyDescent="0.25">
      <c r="A252" s="83" t="str">
        <f>'Total Price List'!A256</f>
        <v>G Data</v>
      </c>
      <c r="B252" s="4">
        <f>'Total Price List'!B256</f>
        <v>20914</v>
      </c>
      <c r="C252" s="3"/>
      <c r="D252" s="3" t="str">
        <f>'Total Price List'!D256</f>
        <v>License 1Y GD EP BUS 50+</v>
      </c>
      <c r="E252" s="3" t="str">
        <f>'Total Price List'!E256</f>
        <v>License 49 &lt; x &lt; 100</v>
      </c>
      <c r="F252" s="4" t="str">
        <f>'Total Price List'!F256</f>
        <v>License</v>
      </c>
      <c r="G252" s="3" t="str">
        <f>'Total Price List'!G256</f>
        <v>G Data EndpointProtection Business</v>
      </c>
      <c r="H252" s="3" t="str">
        <f>'Total Price List'!H256</f>
        <v>network license 1 year</v>
      </c>
      <c r="I252" s="64">
        <f>'Total Price List'!I256</f>
        <v>23.4</v>
      </c>
      <c r="J252" s="65">
        <f>'Total Price List'!J256</f>
        <v>23.4</v>
      </c>
    </row>
    <row r="253" spans="1:10" ht="12" customHeight="1" x14ac:dyDescent="0.25">
      <c r="A253" s="83" t="str">
        <f>'Total Price List'!A257</f>
        <v>G Data</v>
      </c>
      <c r="B253" s="4">
        <f>'Total Price List'!B257</f>
        <v>20915</v>
      </c>
      <c r="C253" s="3"/>
      <c r="D253" s="3" t="str">
        <f>'Total Price List'!D257</f>
        <v>License 1Y GD EP BUS 100+</v>
      </c>
      <c r="E253" s="3" t="str">
        <f>'Total Price List'!E257</f>
        <v>License 99 &lt; x &lt; 250</v>
      </c>
      <c r="F253" s="4" t="str">
        <f>'Total Price List'!F257</f>
        <v>License</v>
      </c>
      <c r="G253" s="3" t="str">
        <f>'Total Price List'!G257</f>
        <v>G Data EndpointProtection Business</v>
      </c>
      <c r="H253" s="3" t="str">
        <f>'Total Price List'!H257</f>
        <v>network license 1 year</v>
      </c>
      <c r="I253" s="64">
        <f>'Total Price List'!I257</f>
        <v>20.7</v>
      </c>
      <c r="J253" s="65">
        <f>'Total Price List'!J257</f>
        <v>20.7</v>
      </c>
    </row>
    <row r="254" spans="1:10" ht="12" customHeight="1" x14ac:dyDescent="0.25">
      <c r="A254" s="83" t="str">
        <f>'Total Price List'!A258</f>
        <v>G Data</v>
      </c>
      <c r="B254" s="4">
        <f>'Total Price List'!B258</f>
        <v>20916</v>
      </c>
      <c r="C254" s="3"/>
      <c r="D254" s="3" t="str">
        <f>'Total Price List'!D258</f>
        <v>License 1Y GD EP BUS 250+</v>
      </c>
      <c r="E254" s="3" t="str">
        <f>'Total Price List'!E258</f>
        <v>License 249 &lt; x &lt; 500</v>
      </c>
      <c r="F254" s="4" t="str">
        <f>'Total Price List'!F258</f>
        <v>License</v>
      </c>
      <c r="G254" s="3" t="str">
        <f>'Total Price List'!G258</f>
        <v>G Data EndpointProtection Business</v>
      </c>
      <c r="H254" s="3" t="str">
        <f>'Total Price List'!H258</f>
        <v>network license 1 year</v>
      </c>
      <c r="I254" s="64">
        <f>'Total Price List'!I258</f>
        <v>18</v>
      </c>
      <c r="J254" s="65">
        <f>'Total Price List'!J258</f>
        <v>18</v>
      </c>
    </row>
    <row r="255" spans="1:10" ht="12" customHeight="1" x14ac:dyDescent="0.25">
      <c r="A255" s="83" t="str">
        <f>'Total Price List'!A259</f>
        <v>G Data</v>
      </c>
      <c r="B255" s="4">
        <f>'Total Price List'!B259</f>
        <v>20917</v>
      </c>
      <c r="C255" s="3"/>
      <c r="D255" s="3" t="str">
        <f>'Total Price List'!D259</f>
        <v>License 1Y GD EP BUS 500+</v>
      </c>
      <c r="E255" s="3" t="str">
        <f>'Total Price List'!E259</f>
        <v>License 499 &lt; x &lt; 1000</v>
      </c>
      <c r="F255" s="4" t="str">
        <f>'Total Price List'!F259</f>
        <v>License</v>
      </c>
      <c r="G255" s="3" t="str">
        <f>'Total Price List'!G259</f>
        <v>G Data EndpointProtection Business</v>
      </c>
      <c r="H255" s="3" t="str">
        <f>'Total Price List'!H259</f>
        <v>network license 1 year</v>
      </c>
      <c r="I255" s="64">
        <f>'Total Price List'!I259</f>
        <v>16.2</v>
      </c>
      <c r="J255" s="65">
        <f>'Total Price List'!J259</f>
        <v>16.2</v>
      </c>
    </row>
    <row r="256" spans="1:10" ht="12" customHeight="1" x14ac:dyDescent="0.25">
      <c r="A256" s="83" t="str">
        <f>'Total Price List'!A260</f>
        <v>G Data</v>
      </c>
      <c r="B256" s="4">
        <f>'Total Price List'!B260</f>
        <v>20918</v>
      </c>
      <c r="C256" s="3"/>
      <c r="D256" s="3" t="str">
        <f>'Total Price List'!D260</f>
        <v>License 1Y GD EP BUS 1000+</v>
      </c>
      <c r="E256" s="3" t="str">
        <f>'Total Price List'!E260</f>
        <v>License 999 &lt; x &lt; 2500</v>
      </c>
      <c r="F256" s="4" t="str">
        <f>'Total Price List'!F260</f>
        <v>License</v>
      </c>
      <c r="G256" s="3" t="str">
        <f>'Total Price List'!G260</f>
        <v>G Data EndpointProtection Business</v>
      </c>
      <c r="H256" s="3" t="str">
        <f>'Total Price List'!H260</f>
        <v>network license 1 year</v>
      </c>
      <c r="I256" s="64">
        <f>'Total Price List'!I260</f>
        <v>14.399999999999999</v>
      </c>
      <c r="J256" s="65">
        <f>'Total Price List'!J260</f>
        <v>14.399999999999999</v>
      </c>
    </row>
    <row r="257" spans="1:10" ht="12" customHeight="1" x14ac:dyDescent="0.25">
      <c r="A257" s="83" t="str">
        <f>'Total Price List'!A261</f>
        <v>G Data</v>
      </c>
      <c r="B257" s="4">
        <f>'Total Price List'!B261</f>
        <v>20921</v>
      </c>
      <c r="C257" s="3"/>
      <c r="D257" s="3" t="str">
        <f>'Total Price List'!D261</f>
        <v>License 2Y GD EP BUS -9</v>
      </c>
      <c r="E257" s="3" t="str">
        <f>'Total Price List'!E261</f>
        <v>License 4 &lt; x &lt; 10</v>
      </c>
      <c r="F257" s="4" t="str">
        <f>'Total Price List'!F261</f>
        <v>License</v>
      </c>
      <c r="G257" s="3" t="str">
        <f>'Total Price List'!G261</f>
        <v>G Data EndpointProtection Business</v>
      </c>
      <c r="H257" s="3" t="str">
        <f>'Total Price List'!H261</f>
        <v>network license 2 years</v>
      </c>
      <c r="I257" s="64">
        <f>'Total Price List'!I261</f>
        <v>63</v>
      </c>
      <c r="J257" s="65">
        <f>'Total Price List'!J261</f>
        <v>63</v>
      </c>
    </row>
    <row r="258" spans="1:10" ht="12" customHeight="1" x14ac:dyDescent="0.25">
      <c r="A258" s="83" t="str">
        <f>'Total Price List'!A262</f>
        <v>G Data</v>
      </c>
      <c r="B258" s="4">
        <f>'Total Price List'!B262</f>
        <v>20922</v>
      </c>
      <c r="C258" s="3"/>
      <c r="D258" s="3" t="str">
        <f>'Total Price List'!D262</f>
        <v>License 2Y GD EP BUS 10+</v>
      </c>
      <c r="E258" s="3" t="str">
        <f>'Total Price List'!E262</f>
        <v>License 9 &lt; x &lt; 25</v>
      </c>
      <c r="F258" s="4" t="str">
        <f>'Total Price List'!F262</f>
        <v>License</v>
      </c>
      <c r="G258" s="3" t="str">
        <f>'Total Price List'!G262</f>
        <v>G Data EndpointProtection Business</v>
      </c>
      <c r="H258" s="3" t="str">
        <f>'Total Price List'!H262</f>
        <v>network license 2 years</v>
      </c>
      <c r="I258" s="64">
        <f>'Total Price List'!I262</f>
        <v>55.8</v>
      </c>
      <c r="J258" s="65">
        <f>'Total Price List'!J262</f>
        <v>55.8</v>
      </c>
    </row>
    <row r="259" spans="1:10" ht="12" customHeight="1" x14ac:dyDescent="0.25">
      <c r="A259" s="83" t="str">
        <f>'Total Price List'!A263</f>
        <v>G Data</v>
      </c>
      <c r="B259" s="4">
        <f>'Total Price List'!B263</f>
        <v>20923</v>
      </c>
      <c r="C259" s="3"/>
      <c r="D259" s="3" t="str">
        <f>'Total Price List'!D263</f>
        <v>License 2Y GD EP BUS 25+</v>
      </c>
      <c r="E259" s="3" t="str">
        <f>'Total Price List'!E263</f>
        <v>License 24 &lt; x &lt; 50</v>
      </c>
      <c r="F259" s="4" t="str">
        <f>'Total Price List'!F263</f>
        <v>License</v>
      </c>
      <c r="G259" s="3" t="str">
        <f>'Total Price List'!G263</f>
        <v>G Data EndpointProtection Business</v>
      </c>
      <c r="H259" s="3" t="str">
        <f>'Total Price List'!H263</f>
        <v>network license 2 years</v>
      </c>
      <c r="I259" s="64">
        <f>'Total Price List'!I263</f>
        <v>43.199999999999996</v>
      </c>
      <c r="J259" s="65">
        <f>'Total Price List'!J263</f>
        <v>43.199999999999996</v>
      </c>
    </row>
    <row r="260" spans="1:10" ht="12" customHeight="1" x14ac:dyDescent="0.25">
      <c r="A260" s="83" t="str">
        <f>'Total Price List'!A264</f>
        <v>G Data</v>
      </c>
      <c r="B260" s="4">
        <f>'Total Price List'!B264</f>
        <v>20924</v>
      </c>
      <c r="C260" s="3"/>
      <c r="D260" s="3" t="str">
        <f>'Total Price List'!D264</f>
        <v>License 2Y GD EP BUS 50+</v>
      </c>
      <c r="E260" s="3" t="str">
        <f>'Total Price List'!E264</f>
        <v>License 49 &lt; x &lt; 100</v>
      </c>
      <c r="F260" s="4" t="str">
        <f>'Total Price List'!F264</f>
        <v>License</v>
      </c>
      <c r="G260" s="3" t="str">
        <f>'Total Price List'!G264</f>
        <v>G Data EndpointProtection Business</v>
      </c>
      <c r="H260" s="3" t="str">
        <f>'Total Price List'!H264</f>
        <v>network license 2 years</v>
      </c>
      <c r="I260" s="64">
        <f>'Total Price List'!I264</f>
        <v>36</v>
      </c>
      <c r="J260" s="65">
        <f>'Total Price List'!J264</f>
        <v>36</v>
      </c>
    </row>
    <row r="261" spans="1:10" ht="12" customHeight="1" x14ac:dyDescent="0.25">
      <c r="A261" s="83" t="str">
        <f>'Total Price List'!A265</f>
        <v>G Data</v>
      </c>
      <c r="B261" s="4">
        <f>'Total Price List'!B265</f>
        <v>20925</v>
      </c>
      <c r="C261" s="3"/>
      <c r="D261" s="3" t="str">
        <f>'Total Price List'!D265</f>
        <v>License 2Y GD EP BUS 100+</v>
      </c>
      <c r="E261" s="3" t="str">
        <f>'Total Price List'!E265</f>
        <v>License 99 &lt; x &lt; 250</v>
      </c>
      <c r="F261" s="4" t="str">
        <f>'Total Price List'!F265</f>
        <v>License</v>
      </c>
      <c r="G261" s="3" t="str">
        <f>'Total Price List'!G265</f>
        <v>G Data EndpointProtection Business</v>
      </c>
      <c r="H261" s="3" t="str">
        <f>'Total Price List'!H265</f>
        <v>network license 2 years</v>
      </c>
      <c r="I261" s="64">
        <f>'Total Price List'!I265</f>
        <v>31.5</v>
      </c>
      <c r="J261" s="65">
        <f>'Total Price List'!J265</f>
        <v>31.5</v>
      </c>
    </row>
    <row r="262" spans="1:10" ht="12" customHeight="1" x14ac:dyDescent="0.25">
      <c r="A262" s="83" t="str">
        <f>'Total Price List'!A266</f>
        <v>G Data</v>
      </c>
      <c r="B262" s="4">
        <f>'Total Price List'!B266</f>
        <v>20926</v>
      </c>
      <c r="C262" s="3"/>
      <c r="D262" s="3" t="str">
        <f>'Total Price List'!D266</f>
        <v>License 2Y GD EP BUS 250+</v>
      </c>
      <c r="E262" s="3" t="str">
        <f>'Total Price List'!E266</f>
        <v>License 249 &lt; x &lt; 500</v>
      </c>
      <c r="F262" s="4" t="str">
        <f>'Total Price List'!F266</f>
        <v>License</v>
      </c>
      <c r="G262" s="3" t="str">
        <f>'Total Price List'!G266</f>
        <v>G Data EndpointProtection Business</v>
      </c>
      <c r="H262" s="3" t="str">
        <f>'Total Price List'!H266</f>
        <v>network license 2 years</v>
      </c>
      <c r="I262" s="64">
        <f>'Total Price List'!I266</f>
        <v>27</v>
      </c>
      <c r="J262" s="65">
        <f>'Total Price List'!J266</f>
        <v>27</v>
      </c>
    </row>
    <row r="263" spans="1:10" ht="12" customHeight="1" x14ac:dyDescent="0.25">
      <c r="A263" s="83" t="str">
        <f>'Total Price List'!A267</f>
        <v>G Data</v>
      </c>
      <c r="B263" s="4">
        <f>'Total Price List'!B267</f>
        <v>20927</v>
      </c>
      <c r="C263" s="3"/>
      <c r="D263" s="3" t="str">
        <f>'Total Price List'!D267</f>
        <v>License 2Y GD EP BUS 500+</v>
      </c>
      <c r="E263" s="3" t="str">
        <f>'Total Price List'!E267</f>
        <v>License 499 &lt; x &lt; 1000</v>
      </c>
      <c r="F263" s="4" t="str">
        <f>'Total Price List'!F267</f>
        <v>License</v>
      </c>
      <c r="G263" s="3" t="str">
        <f>'Total Price List'!G267</f>
        <v>G Data EndpointProtection Business</v>
      </c>
      <c r="H263" s="3" t="str">
        <f>'Total Price List'!H267</f>
        <v>network license 2 years</v>
      </c>
      <c r="I263" s="64">
        <f>'Total Price List'!I267</f>
        <v>24.299999999999997</v>
      </c>
      <c r="J263" s="65">
        <f>'Total Price List'!J267</f>
        <v>24.299999999999997</v>
      </c>
    </row>
    <row r="264" spans="1:10" ht="12" customHeight="1" x14ac:dyDescent="0.25">
      <c r="A264" s="83" t="str">
        <f>'Total Price List'!A268</f>
        <v>G Data</v>
      </c>
      <c r="B264" s="4">
        <f>'Total Price List'!B268</f>
        <v>20928</v>
      </c>
      <c r="C264" s="3"/>
      <c r="D264" s="3" t="str">
        <f>'Total Price List'!D268</f>
        <v>License 2Y GD EP BUS 1000+</v>
      </c>
      <c r="E264" s="3" t="str">
        <f>'Total Price List'!E268</f>
        <v>License 999 &lt; x &lt; 2500</v>
      </c>
      <c r="F264" s="4" t="str">
        <f>'Total Price List'!F268</f>
        <v>License</v>
      </c>
      <c r="G264" s="3" t="str">
        <f>'Total Price List'!G268</f>
        <v>G Data EndpointProtection Business</v>
      </c>
      <c r="H264" s="3" t="str">
        <f>'Total Price List'!H268</f>
        <v>network license 2 years</v>
      </c>
      <c r="I264" s="64">
        <f>'Total Price List'!I268</f>
        <v>22.5</v>
      </c>
      <c r="J264" s="65">
        <f>'Total Price List'!J268</f>
        <v>22.5</v>
      </c>
    </row>
    <row r="265" spans="1:10" ht="12" customHeight="1" x14ac:dyDescent="0.25">
      <c r="A265" s="83" t="str">
        <f>'Total Price List'!A269</f>
        <v>G Data</v>
      </c>
      <c r="B265" s="4">
        <f>'Total Price List'!B269</f>
        <v>20931</v>
      </c>
      <c r="C265" s="3"/>
      <c r="D265" s="3" t="str">
        <f>'Total Price List'!D269</f>
        <v>License 3Y GD EP BUS -9</v>
      </c>
      <c r="E265" s="3" t="str">
        <f>'Total Price List'!E269</f>
        <v>License 4 &lt; x &lt; 10</v>
      </c>
      <c r="F265" s="4" t="str">
        <f>'Total Price List'!F269</f>
        <v>License</v>
      </c>
      <c r="G265" s="3" t="str">
        <f>'Total Price List'!G269</f>
        <v>G Data EndpointProtection Business</v>
      </c>
      <c r="H265" s="3" t="str">
        <f>'Total Price List'!H269</f>
        <v>network license 3 years</v>
      </c>
      <c r="I265" s="64">
        <f>'Total Price List'!I269</f>
        <v>80.099999999999994</v>
      </c>
      <c r="J265" s="65">
        <f>'Total Price List'!J269</f>
        <v>80.099999999999994</v>
      </c>
    </row>
    <row r="266" spans="1:10" ht="12" customHeight="1" x14ac:dyDescent="0.25">
      <c r="A266" s="83" t="str">
        <f>'Total Price List'!A270</f>
        <v>G Data</v>
      </c>
      <c r="B266" s="4">
        <f>'Total Price List'!B270</f>
        <v>20932</v>
      </c>
      <c r="C266" s="3"/>
      <c r="D266" s="3" t="str">
        <f>'Total Price List'!D270</f>
        <v>License 3Y GD EP BUS 10+</v>
      </c>
      <c r="E266" s="3" t="str">
        <f>'Total Price List'!E270</f>
        <v>License 9 &lt; x &lt; 25</v>
      </c>
      <c r="F266" s="4" t="str">
        <f>'Total Price List'!F270</f>
        <v>License</v>
      </c>
      <c r="G266" s="3" t="str">
        <f>'Total Price List'!G270</f>
        <v>G Data EndpointProtection Business</v>
      </c>
      <c r="H266" s="3" t="str">
        <f>'Total Price List'!H270</f>
        <v>network license 3 years</v>
      </c>
      <c r="I266" s="64">
        <f>'Total Price List'!I270</f>
        <v>71.099999999999994</v>
      </c>
      <c r="J266" s="65">
        <f>'Total Price List'!J270</f>
        <v>71.099999999999994</v>
      </c>
    </row>
    <row r="267" spans="1:10" ht="12" customHeight="1" x14ac:dyDescent="0.25">
      <c r="A267" s="83" t="str">
        <f>'Total Price List'!A271</f>
        <v>G Data</v>
      </c>
      <c r="B267" s="4">
        <f>'Total Price List'!B271</f>
        <v>20933</v>
      </c>
      <c r="C267" s="3"/>
      <c r="D267" s="3" t="str">
        <f>'Total Price List'!D271</f>
        <v>License 3Y GD EP BUS 25+</v>
      </c>
      <c r="E267" s="3" t="str">
        <f>'Total Price List'!E271</f>
        <v>License 24 &lt; x &lt; 50</v>
      </c>
      <c r="F267" s="4" t="str">
        <f>'Total Price List'!F271</f>
        <v>License</v>
      </c>
      <c r="G267" s="3" t="str">
        <f>'Total Price List'!G271</f>
        <v>G Data EndpointProtection Business</v>
      </c>
      <c r="H267" s="3" t="str">
        <f>'Total Price List'!H271</f>
        <v>network license 3 years</v>
      </c>
      <c r="I267" s="64">
        <f>'Total Price List'!I271</f>
        <v>61.199999999999996</v>
      </c>
      <c r="J267" s="65">
        <f>'Total Price List'!J271</f>
        <v>61.199999999999996</v>
      </c>
    </row>
    <row r="268" spans="1:10" ht="12" customHeight="1" x14ac:dyDescent="0.25">
      <c r="A268" s="83" t="str">
        <f>'Total Price List'!A272</f>
        <v>G Data</v>
      </c>
      <c r="B268" s="4">
        <f>'Total Price List'!B272</f>
        <v>20934</v>
      </c>
      <c r="C268" s="3"/>
      <c r="D268" s="3" t="str">
        <f>'Total Price List'!D272</f>
        <v>License 3Y GD EP BUS 50+</v>
      </c>
      <c r="E268" s="3" t="str">
        <f>'Total Price List'!E272</f>
        <v>License 49 &lt; x &lt; 100</v>
      </c>
      <c r="F268" s="4" t="str">
        <f>'Total Price List'!F272</f>
        <v>License</v>
      </c>
      <c r="G268" s="3" t="str">
        <f>'Total Price List'!G272</f>
        <v>G Data EndpointProtection Business</v>
      </c>
      <c r="H268" s="3" t="str">
        <f>'Total Price List'!H272</f>
        <v>network license 3 years</v>
      </c>
      <c r="I268" s="64">
        <f>'Total Price List'!I272</f>
        <v>52.199999999999996</v>
      </c>
      <c r="J268" s="65">
        <f>'Total Price List'!J272</f>
        <v>52.199999999999996</v>
      </c>
    </row>
    <row r="269" spans="1:10" ht="12" customHeight="1" x14ac:dyDescent="0.25">
      <c r="A269" s="83" t="str">
        <f>'Total Price List'!A273</f>
        <v>G Data</v>
      </c>
      <c r="B269" s="4">
        <f>'Total Price List'!B273</f>
        <v>20935</v>
      </c>
      <c r="C269" s="3"/>
      <c r="D269" s="3" t="str">
        <f>'Total Price List'!D273</f>
        <v>License 3Y GD EP BUS 100+</v>
      </c>
      <c r="E269" s="3" t="str">
        <f>'Total Price List'!E273</f>
        <v>License 99 &lt; x &lt; 250</v>
      </c>
      <c r="F269" s="4" t="str">
        <f>'Total Price List'!F273</f>
        <v>License</v>
      </c>
      <c r="G269" s="3" t="str">
        <f>'Total Price List'!G273</f>
        <v>G Data EndpointProtection Business</v>
      </c>
      <c r="H269" s="3" t="str">
        <f>'Total Price List'!H273</f>
        <v>network license 3 years</v>
      </c>
      <c r="I269" s="64">
        <f>'Total Price List'!I273</f>
        <v>44.099999999999994</v>
      </c>
      <c r="J269" s="65">
        <f>'Total Price List'!J273</f>
        <v>44.099999999999994</v>
      </c>
    </row>
    <row r="270" spans="1:10" ht="12" customHeight="1" x14ac:dyDescent="0.25">
      <c r="A270" s="83" t="str">
        <f>'Total Price List'!A274</f>
        <v>G Data</v>
      </c>
      <c r="B270" s="4">
        <f>'Total Price List'!B274</f>
        <v>20936</v>
      </c>
      <c r="C270" s="3"/>
      <c r="D270" s="3" t="str">
        <f>'Total Price List'!D274</f>
        <v>License 3Y GD EP BUS 250+</v>
      </c>
      <c r="E270" s="3" t="str">
        <f>'Total Price List'!E274</f>
        <v>License 249 &lt; x &lt; 500</v>
      </c>
      <c r="F270" s="4" t="str">
        <f>'Total Price List'!F274</f>
        <v>License</v>
      </c>
      <c r="G270" s="3" t="str">
        <f>'Total Price List'!G274</f>
        <v>G Data EndpointProtection Business</v>
      </c>
      <c r="H270" s="3" t="str">
        <f>'Total Price List'!H274</f>
        <v>network license 3 years</v>
      </c>
      <c r="I270" s="64">
        <f>'Total Price List'!I274</f>
        <v>36.9</v>
      </c>
      <c r="J270" s="65">
        <f>'Total Price List'!J274</f>
        <v>36.9</v>
      </c>
    </row>
    <row r="271" spans="1:10" ht="12" customHeight="1" x14ac:dyDescent="0.25">
      <c r="A271" s="83" t="str">
        <f>'Total Price List'!A275</f>
        <v>G Data</v>
      </c>
      <c r="B271" s="4">
        <f>'Total Price List'!B275</f>
        <v>20937</v>
      </c>
      <c r="C271" s="3"/>
      <c r="D271" s="3" t="str">
        <f>'Total Price List'!D275</f>
        <v>License 3Y GD EP BUS 500+</v>
      </c>
      <c r="E271" s="3" t="str">
        <f>'Total Price List'!E275</f>
        <v>License 499 &lt; x &lt; 1000</v>
      </c>
      <c r="F271" s="4" t="str">
        <f>'Total Price List'!F275</f>
        <v>License</v>
      </c>
      <c r="G271" s="3" t="str">
        <f>'Total Price List'!G275</f>
        <v>G Data EndpointProtection Business</v>
      </c>
      <c r="H271" s="3" t="str">
        <f>'Total Price List'!H275</f>
        <v>network license 3 years</v>
      </c>
      <c r="I271" s="64">
        <f>'Total Price List'!I275</f>
        <v>33.299999999999997</v>
      </c>
      <c r="J271" s="65">
        <f>'Total Price List'!J275</f>
        <v>33.299999999999997</v>
      </c>
    </row>
    <row r="272" spans="1:10" ht="12" customHeight="1" thickBot="1" x14ac:dyDescent="0.3">
      <c r="A272" s="84" t="str">
        <f>'Total Price List'!A276</f>
        <v>G Data</v>
      </c>
      <c r="B272" s="24">
        <f>'Total Price List'!B276</f>
        <v>20938</v>
      </c>
      <c r="C272" s="25"/>
      <c r="D272" s="25" t="str">
        <f>'Total Price List'!D276</f>
        <v>License 3Y GD EP BUS 1000+</v>
      </c>
      <c r="E272" s="25" t="str">
        <f>'Total Price List'!E276</f>
        <v>License 999 &lt; x &lt; 2500</v>
      </c>
      <c r="F272" s="24" t="str">
        <f>'Total Price List'!F276</f>
        <v>License</v>
      </c>
      <c r="G272" s="25" t="str">
        <f>'Total Price List'!G276</f>
        <v>G Data EndpointProtection Business</v>
      </c>
      <c r="H272" s="25" t="str">
        <f>'Total Price List'!H276</f>
        <v>network license 3 years</v>
      </c>
      <c r="I272" s="66">
        <f>'Total Price List'!I276</f>
        <v>29.700000000000003</v>
      </c>
      <c r="J272" s="67">
        <f>'Total Price List'!J276</f>
        <v>29.700000000000003</v>
      </c>
    </row>
    <row r="273" spans="1:10" ht="12" customHeight="1" x14ac:dyDescent="0.25">
      <c r="A273" s="99" t="str">
        <f>'Total Price List'!A277</f>
        <v>G Data EndpointProtection Business network license renewal</v>
      </c>
      <c r="B273" s="99"/>
      <c r="C273" s="99"/>
      <c r="D273" s="99"/>
      <c r="E273" s="99"/>
      <c r="F273" s="99"/>
      <c r="G273" s="99"/>
      <c r="H273" s="99"/>
      <c r="I273" s="99"/>
      <c r="J273" s="100"/>
    </row>
    <row r="274" spans="1:10" ht="12" customHeight="1" x14ac:dyDescent="0.25">
      <c r="A274" s="85" t="str">
        <f>'Total Price List'!A278</f>
        <v>G Data</v>
      </c>
      <c r="B274" s="7">
        <f>'Total Price List'!B278</f>
        <v>20961</v>
      </c>
      <c r="C274" s="6"/>
      <c r="D274" s="6" t="str">
        <f>'Total Price List'!D278</f>
        <v>Renewal 1Y GD EP BUS -9</v>
      </c>
      <c r="E274" s="6" t="str">
        <f>'Total Price List'!E278</f>
        <v>Renewal 4 &lt; x &lt; 10</v>
      </c>
      <c r="F274" s="7" t="str">
        <f>'Total Price List'!F278</f>
        <v>Renewal</v>
      </c>
      <c r="G274" s="6" t="str">
        <f>'Total Price List'!G278</f>
        <v>G Data EndpointProtection Business</v>
      </c>
      <c r="H274" s="6" t="str">
        <f>'Total Price List'!H278</f>
        <v>network license renewal 1 year</v>
      </c>
      <c r="I274" s="77">
        <f>'Total Price List'!I278</f>
        <v>24</v>
      </c>
      <c r="J274" s="72">
        <f>'Total Price List'!J278</f>
        <v>24</v>
      </c>
    </row>
    <row r="275" spans="1:10" ht="12" customHeight="1" x14ac:dyDescent="0.25">
      <c r="A275" s="85" t="str">
        <f>'Total Price List'!A279</f>
        <v>G Data</v>
      </c>
      <c r="B275" s="7">
        <f>'Total Price List'!B279</f>
        <v>20962</v>
      </c>
      <c r="C275" s="6"/>
      <c r="D275" s="6" t="str">
        <f>'Total Price List'!D279</f>
        <v>Renewal 1Y GD EP BUS 10+</v>
      </c>
      <c r="E275" s="6" t="str">
        <f>'Total Price List'!E279</f>
        <v>Renewal 9 &lt; x &lt; 25</v>
      </c>
      <c r="F275" s="7" t="str">
        <f>'Total Price List'!F279</f>
        <v>Renewal</v>
      </c>
      <c r="G275" s="6" t="str">
        <f>'Total Price List'!G279</f>
        <v>G Data EndpointProtection Business</v>
      </c>
      <c r="H275" s="6" t="str">
        <f>'Total Price List'!H279</f>
        <v>network license renewal 1 year</v>
      </c>
      <c r="I275" s="77">
        <f>'Total Price List'!I279</f>
        <v>23.52</v>
      </c>
      <c r="J275" s="72">
        <f>'Total Price List'!J279</f>
        <v>23.52</v>
      </c>
    </row>
    <row r="276" spans="1:10" ht="12" customHeight="1" x14ac:dyDescent="0.25">
      <c r="A276" s="85" t="str">
        <f>'Total Price List'!A280</f>
        <v>G Data</v>
      </c>
      <c r="B276" s="7">
        <f>'Total Price List'!B280</f>
        <v>20963</v>
      </c>
      <c r="C276" s="6"/>
      <c r="D276" s="6" t="str">
        <f>'Total Price List'!D280</f>
        <v>Renewal 1Y GD EP BUS 25+</v>
      </c>
      <c r="E276" s="6" t="str">
        <f>'Total Price List'!E280</f>
        <v>Renewal 24 &lt; x &lt; 50</v>
      </c>
      <c r="F276" s="7" t="str">
        <f>'Total Price List'!F280</f>
        <v>Renewal</v>
      </c>
      <c r="G276" s="6" t="str">
        <f>'Total Price List'!G280</f>
        <v>G Data EndpointProtection Business</v>
      </c>
      <c r="H276" s="6" t="str">
        <f>'Total Price List'!H280</f>
        <v>network license renewal 1 year</v>
      </c>
      <c r="I276" s="77">
        <f>'Total Price List'!I280</f>
        <v>19.776000000000003</v>
      </c>
      <c r="J276" s="72">
        <f>'Total Price List'!J280</f>
        <v>19.776000000000003</v>
      </c>
    </row>
    <row r="277" spans="1:10" ht="12" customHeight="1" x14ac:dyDescent="0.25">
      <c r="A277" s="85" t="str">
        <f>'Total Price List'!A281</f>
        <v>G Data</v>
      </c>
      <c r="B277" s="7">
        <f>'Total Price List'!B281</f>
        <v>20964</v>
      </c>
      <c r="C277" s="6"/>
      <c r="D277" s="6" t="str">
        <f>'Total Price List'!D281</f>
        <v>Renewal 1Y GD EP BUS 50+</v>
      </c>
      <c r="E277" s="6" t="str">
        <f>'Total Price List'!E281</f>
        <v>Renewal 49 &lt; x &lt; 100</v>
      </c>
      <c r="F277" s="7" t="str">
        <f>'Total Price List'!F281</f>
        <v>Renewal</v>
      </c>
      <c r="G277" s="6" t="str">
        <f>'Total Price List'!G281</f>
        <v>G Data EndpointProtection Business</v>
      </c>
      <c r="H277" s="6" t="str">
        <f>'Total Price List'!H281</f>
        <v>network license renewal 1 year</v>
      </c>
      <c r="I277" s="77">
        <f>'Total Price List'!I281</f>
        <v>18.528000000000002</v>
      </c>
      <c r="J277" s="72">
        <f>'Total Price List'!J281</f>
        <v>18.528000000000002</v>
      </c>
    </row>
    <row r="278" spans="1:10" ht="12" customHeight="1" x14ac:dyDescent="0.25">
      <c r="A278" s="85" t="str">
        <f>'Total Price List'!A282</f>
        <v>G Data</v>
      </c>
      <c r="B278" s="7">
        <f>'Total Price List'!B282</f>
        <v>20965</v>
      </c>
      <c r="C278" s="6"/>
      <c r="D278" s="6" t="str">
        <f>'Total Price List'!D282</f>
        <v>Renewal 1Y GD EP BUS 100+</v>
      </c>
      <c r="E278" s="6" t="str">
        <f>'Total Price List'!E282</f>
        <v>Renewal 99 &lt; x &lt; 250</v>
      </c>
      <c r="F278" s="7" t="str">
        <f>'Total Price List'!F282</f>
        <v>Renewal</v>
      </c>
      <c r="G278" s="6" t="str">
        <f>'Total Price List'!G282</f>
        <v>G Data EndpointProtection Business</v>
      </c>
      <c r="H278" s="6" t="str">
        <f>'Total Price List'!H282</f>
        <v>network license renewal 1 year</v>
      </c>
      <c r="I278" s="77">
        <f>'Total Price List'!I282</f>
        <v>15.024000000000001</v>
      </c>
      <c r="J278" s="72">
        <f>'Total Price List'!J282</f>
        <v>15.024000000000001</v>
      </c>
    </row>
    <row r="279" spans="1:10" ht="12" customHeight="1" x14ac:dyDescent="0.25">
      <c r="A279" s="85" t="str">
        <f>'Total Price List'!A283</f>
        <v>G Data</v>
      </c>
      <c r="B279" s="7">
        <f>'Total Price List'!B283</f>
        <v>20966</v>
      </c>
      <c r="C279" s="6"/>
      <c r="D279" s="6" t="str">
        <f>'Total Price List'!D283</f>
        <v>Renewal 1Y GD EP BUS 250+</v>
      </c>
      <c r="E279" s="6" t="str">
        <f>'Total Price List'!E283</f>
        <v>Renewal 249 &lt; x &lt; 500</v>
      </c>
      <c r="F279" s="7" t="str">
        <f>'Total Price List'!F283</f>
        <v>Renewal</v>
      </c>
      <c r="G279" s="6" t="str">
        <f>'Total Price List'!G283</f>
        <v>G Data EndpointProtection Business</v>
      </c>
      <c r="H279" s="6" t="str">
        <f>'Total Price List'!H283</f>
        <v>network license renewal 1 year</v>
      </c>
      <c r="I279" s="77">
        <f>'Total Price List'!I283</f>
        <v>11.769600000000001</v>
      </c>
      <c r="J279" s="72">
        <f>'Total Price List'!J283</f>
        <v>11.769600000000001</v>
      </c>
    </row>
    <row r="280" spans="1:10" ht="12" customHeight="1" x14ac:dyDescent="0.25">
      <c r="A280" s="85" t="str">
        <f>'Total Price List'!A284</f>
        <v>G Data</v>
      </c>
      <c r="B280" s="7">
        <f>'Total Price List'!B284</f>
        <v>20967</v>
      </c>
      <c r="C280" s="6"/>
      <c r="D280" s="6" t="str">
        <f>'Total Price List'!D284</f>
        <v>Renewal 1Y GD EP BUS 500+</v>
      </c>
      <c r="E280" s="6" t="str">
        <f>'Total Price List'!E284</f>
        <v>Renewal 499 &lt; x &lt; 1000</v>
      </c>
      <c r="F280" s="7" t="str">
        <f>'Total Price List'!F284</f>
        <v>Renewal</v>
      </c>
      <c r="G280" s="6" t="str">
        <f>'Total Price List'!G284</f>
        <v>G Data EndpointProtection Business</v>
      </c>
      <c r="H280" s="6" t="str">
        <f>'Total Price List'!H284</f>
        <v>network license renewal 1 year</v>
      </c>
      <c r="I280" s="77">
        <f>'Total Price List'!I284</f>
        <v>10.204800000000001</v>
      </c>
      <c r="J280" s="72">
        <f>'Total Price List'!J284</f>
        <v>10.204800000000001</v>
      </c>
    </row>
    <row r="281" spans="1:10" ht="12" customHeight="1" x14ac:dyDescent="0.25">
      <c r="A281" s="85" t="str">
        <f>'Total Price List'!A285</f>
        <v>G Data</v>
      </c>
      <c r="B281" s="7">
        <f>'Total Price List'!B285</f>
        <v>20968</v>
      </c>
      <c r="C281" s="6"/>
      <c r="D281" s="6" t="str">
        <f>'Total Price List'!D285</f>
        <v>Renewal 1Y GD EP BUS 1000+</v>
      </c>
      <c r="E281" s="6" t="str">
        <f>'Total Price List'!E285</f>
        <v>Renewal 999 &lt; x &lt; 2500</v>
      </c>
      <c r="F281" s="7" t="str">
        <f>'Total Price List'!F285</f>
        <v>Renewal</v>
      </c>
      <c r="G281" s="6" t="str">
        <f>'Total Price List'!G285</f>
        <v>G Data EndpointProtection Business</v>
      </c>
      <c r="H281" s="6" t="str">
        <f>'Total Price List'!H285</f>
        <v>network license renewal 1 year</v>
      </c>
      <c r="I281" s="77">
        <f>'Total Price List'!I285</f>
        <v>8.7360000000000007</v>
      </c>
      <c r="J281" s="72">
        <f>'Total Price List'!J285</f>
        <v>8.7360000000000007</v>
      </c>
    </row>
    <row r="282" spans="1:10" ht="12" customHeight="1" x14ac:dyDescent="0.25">
      <c r="A282" s="85" t="str">
        <f>'Total Price List'!A286</f>
        <v>G Data</v>
      </c>
      <c r="B282" s="7">
        <f>'Total Price List'!B286</f>
        <v>20971</v>
      </c>
      <c r="C282" s="6"/>
      <c r="D282" s="6" t="str">
        <f>'Total Price List'!D286</f>
        <v>Renewal 2Y GD EP BUS -9</v>
      </c>
      <c r="E282" s="6" t="str">
        <f>'Total Price List'!E286</f>
        <v>Renewal 4 &lt; x &lt; 10</v>
      </c>
      <c r="F282" s="7" t="str">
        <f>'Total Price List'!F286</f>
        <v>Renewal</v>
      </c>
      <c r="G282" s="6" t="str">
        <f>'Total Price List'!G286</f>
        <v>G Data EndpointProtection Business</v>
      </c>
      <c r="H282" s="6" t="str">
        <f>'Total Price List'!H286</f>
        <v>network license renewal 2 years</v>
      </c>
      <c r="I282" s="77">
        <f>'Total Price List'!I286</f>
        <v>42</v>
      </c>
      <c r="J282" s="72">
        <f>'Total Price List'!J286</f>
        <v>42</v>
      </c>
    </row>
    <row r="283" spans="1:10" ht="12" customHeight="1" x14ac:dyDescent="0.25">
      <c r="A283" s="85" t="str">
        <f>'Total Price List'!A287</f>
        <v>G Data</v>
      </c>
      <c r="B283" s="7">
        <f>'Total Price List'!B287</f>
        <v>20972</v>
      </c>
      <c r="C283" s="6"/>
      <c r="D283" s="6" t="str">
        <f>'Total Price List'!D287</f>
        <v>Renewal 2Y GD EP BUS 10+</v>
      </c>
      <c r="E283" s="6" t="str">
        <f>'Total Price List'!E287</f>
        <v>Renewal 9 &lt; x &lt; 25</v>
      </c>
      <c r="F283" s="7" t="str">
        <f>'Total Price List'!F287</f>
        <v>Renewal</v>
      </c>
      <c r="G283" s="6" t="str">
        <f>'Total Price List'!G287</f>
        <v>G Data EndpointProtection Business</v>
      </c>
      <c r="H283" s="6" t="str">
        <f>'Total Price List'!H287</f>
        <v>network license renewal 2 years</v>
      </c>
      <c r="I283" s="77">
        <f>'Total Price List'!I287</f>
        <v>41.16</v>
      </c>
      <c r="J283" s="72">
        <f>'Total Price List'!J287</f>
        <v>41.16</v>
      </c>
    </row>
    <row r="284" spans="1:10" ht="12" customHeight="1" x14ac:dyDescent="0.25">
      <c r="A284" s="85" t="str">
        <f>'Total Price List'!A288</f>
        <v>G Data</v>
      </c>
      <c r="B284" s="7">
        <f>'Total Price List'!B288</f>
        <v>20973</v>
      </c>
      <c r="C284" s="6"/>
      <c r="D284" s="6" t="str">
        <f>'Total Price List'!D288</f>
        <v>Renewal 2Y GD EP BUS 25+</v>
      </c>
      <c r="E284" s="6" t="str">
        <f>'Total Price List'!E288</f>
        <v>Renewal 24 &lt; x &lt; 50</v>
      </c>
      <c r="F284" s="7" t="str">
        <f>'Total Price List'!F288</f>
        <v>Renewal</v>
      </c>
      <c r="G284" s="6" t="str">
        <f>'Total Price List'!G288</f>
        <v>G Data EndpointProtection Business</v>
      </c>
      <c r="H284" s="6" t="str">
        <f>'Total Price List'!H288</f>
        <v>network license renewal 2 years</v>
      </c>
      <c r="I284" s="77">
        <f>'Total Price List'!I288</f>
        <v>34.608000000000004</v>
      </c>
      <c r="J284" s="72">
        <f>'Total Price List'!J288</f>
        <v>34.608000000000004</v>
      </c>
    </row>
    <row r="285" spans="1:10" ht="12" customHeight="1" x14ac:dyDescent="0.25">
      <c r="A285" s="85" t="str">
        <f>'Total Price List'!A289</f>
        <v>G Data</v>
      </c>
      <c r="B285" s="7">
        <f>'Total Price List'!B289</f>
        <v>20974</v>
      </c>
      <c r="C285" s="6"/>
      <c r="D285" s="6" t="str">
        <f>'Total Price List'!D289</f>
        <v>Renewal 2Y GD EP BUS 50+</v>
      </c>
      <c r="E285" s="6" t="str">
        <f>'Total Price List'!E289</f>
        <v>Renewal 49 &lt; x &lt; 100</v>
      </c>
      <c r="F285" s="7" t="str">
        <f>'Total Price List'!F289</f>
        <v>Renewal</v>
      </c>
      <c r="G285" s="6" t="str">
        <f>'Total Price List'!G289</f>
        <v>G Data EndpointProtection Business</v>
      </c>
      <c r="H285" s="6" t="str">
        <f>'Total Price List'!H289</f>
        <v>network license renewal 2 years</v>
      </c>
      <c r="I285" s="77">
        <f>'Total Price List'!I289</f>
        <v>32.423999999999999</v>
      </c>
      <c r="J285" s="72">
        <f>'Total Price List'!J289</f>
        <v>32.423999999999999</v>
      </c>
    </row>
    <row r="286" spans="1:10" ht="12" customHeight="1" x14ac:dyDescent="0.25">
      <c r="A286" s="85" t="str">
        <f>'Total Price List'!A290</f>
        <v>G Data</v>
      </c>
      <c r="B286" s="7">
        <f>'Total Price List'!B290</f>
        <v>20975</v>
      </c>
      <c r="C286" s="6"/>
      <c r="D286" s="6" t="str">
        <f>'Total Price List'!D290</f>
        <v>Renewal 2Y GD EP BUS 100+</v>
      </c>
      <c r="E286" s="6" t="str">
        <f>'Total Price List'!E290</f>
        <v>Renewal 99 &lt; x &lt; 250</v>
      </c>
      <c r="F286" s="7" t="str">
        <f>'Total Price List'!F290</f>
        <v>Renewal</v>
      </c>
      <c r="G286" s="6" t="str">
        <f>'Total Price List'!G290</f>
        <v>G Data EndpointProtection Business</v>
      </c>
      <c r="H286" s="6" t="str">
        <f>'Total Price List'!H290</f>
        <v>network license renewal 2 years</v>
      </c>
      <c r="I286" s="77">
        <f>'Total Price List'!I290</f>
        <v>26.292000000000002</v>
      </c>
      <c r="J286" s="72">
        <f>'Total Price List'!J290</f>
        <v>26.292000000000002</v>
      </c>
    </row>
    <row r="287" spans="1:10" ht="12" customHeight="1" x14ac:dyDescent="0.25">
      <c r="A287" s="85" t="str">
        <f>'Total Price List'!A291</f>
        <v>G Data</v>
      </c>
      <c r="B287" s="7">
        <f>'Total Price List'!B291</f>
        <v>20976</v>
      </c>
      <c r="C287" s="6"/>
      <c r="D287" s="6" t="str">
        <f>'Total Price List'!D291</f>
        <v>Renewal 2Y GD EP BUS 250+</v>
      </c>
      <c r="E287" s="6" t="str">
        <f>'Total Price List'!E291</f>
        <v>Renewal 249 &lt; x &lt; 500</v>
      </c>
      <c r="F287" s="7" t="str">
        <f>'Total Price List'!F291</f>
        <v>Renewal</v>
      </c>
      <c r="G287" s="6" t="str">
        <f>'Total Price List'!G291</f>
        <v>G Data EndpointProtection Business</v>
      </c>
      <c r="H287" s="6" t="str">
        <f>'Total Price List'!H291</f>
        <v>network license renewal 2 years</v>
      </c>
      <c r="I287" s="77">
        <f>'Total Price List'!I291</f>
        <v>20.596800000000002</v>
      </c>
      <c r="J287" s="72">
        <f>'Total Price List'!J291</f>
        <v>20.596800000000002</v>
      </c>
    </row>
    <row r="288" spans="1:10" ht="12" customHeight="1" x14ac:dyDescent="0.25">
      <c r="A288" s="85" t="str">
        <f>'Total Price List'!A292</f>
        <v>G Data</v>
      </c>
      <c r="B288" s="7">
        <f>'Total Price List'!B292</f>
        <v>20977</v>
      </c>
      <c r="C288" s="6"/>
      <c r="D288" s="6" t="str">
        <f>'Total Price List'!D292</f>
        <v>Renewal 2Y GD EP BUS 500+</v>
      </c>
      <c r="E288" s="6" t="str">
        <f>'Total Price List'!E292</f>
        <v>Renewal 499 &lt; x &lt; 1000</v>
      </c>
      <c r="F288" s="7" t="str">
        <f>'Total Price List'!F292</f>
        <v>Renewal</v>
      </c>
      <c r="G288" s="6" t="str">
        <f>'Total Price List'!G292</f>
        <v>G Data EndpointProtection Business</v>
      </c>
      <c r="H288" s="6" t="str">
        <f>'Total Price List'!H292</f>
        <v>network license renewal 2 years</v>
      </c>
      <c r="I288" s="77">
        <f>'Total Price List'!I292</f>
        <v>17.8584</v>
      </c>
      <c r="J288" s="72">
        <f>'Total Price List'!J292</f>
        <v>17.8584</v>
      </c>
    </row>
    <row r="289" spans="1:10" ht="12" customHeight="1" x14ac:dyDescent="0.25">
      <c r="A289" s="85" t="str">
        <f>'Total Price List'!A293</f>
        <v>G Data</v>
      </c>
      <c r="B289" s="7">
        <f>'Total Price List'!B293</f>
        <v>20978</v>
      </c>
      <c r="C289" s="6"/>
      <c r="D289" s="6" t="str">
        <f>'Total Price List'!D293</f>
        <v>Renewal 2Y GD EP BUS 1000+</v>
      </c>
      <c r="E289" s="6" t="str">
        <f>'Total Price List'!E293</f>
        <v>Renewal 999 &lt; x &lt; 2500</v>
      </c>
      <c r="F289" s="7" t="str">
        <f>'Total Price List'!F293</f>
        <v>Renewal</v>
      </c>
      <c r="G289" s="6" t="str">
        <f>'Total Price List'!G293</f>
        <v>G Data EndpointProtection Business</v>
      </c>
      <c r="H289" s="6" t="str">
        <f>'Total Price List'!H293</f>
        <v>network license renewal 2 years</v>
      </c>
      <c r="I289" s="77">
        <f>'Total Price List'!I293</f>
        <v>13.52</v>
      </c>
      <c r="J289" s="72">
        <f>'Total Price List'!J293</f>
        <v>13.52</v>
      </c>
    </row>
    <row r="290" spans="1:10" ht="12" customHeight="1" x14ac:dyDescent="0.25">
      <c r="A290" s="85" t="str">
        <f>'Total Price List'!A294</f>
        <v>G Data</v>
      </c>
      <c r="B290" s="7">
        <f>'Total Price List'!B294</f>
        <v>20981</v>
      </c>
      <c r="C290" s="6"/>
      <c r="D290" s="6" t="str">
        <f>'Total Price List'!D294</f>
        <v>Renewal 3Y GD EP BUS -9</v>
      </c>
      <c r="E290" s="6" t="str">
        <f>'Total Price List'!E294</f>
        <v>Renewal 4 &lt; x &lt; 10</v>
      </c>
      <c r="F290" s="7" t="str">
        <f>'Total Price List'!F294</f>
        <v>Renewal</v>
      </c>
      <c r="G290" s="6" t="str">
        <f>'Total Price List'!G294</f>
        <v>G Data EndpointProtection Business</v>
      </c>
      <c r="H290" s="6" t="str">
        <f>'Total Price List'!H294</f>
        <v>network license renewal 3 years</v>
      </c>
      <c r="I290" s="77">
        <f>'Total Price List'!I294</f>
        <v>60</v>
      </c>
      <c r="J290" s="72">
        <f>'Total Price List'!J294</f>
        <v>60</v>
      </c>
    </row>
    <row r="291" spans="1:10" ht="12" customHeight="1" x14ac:dyDescent="0.25">
      <c r="A291" s="85" t="str">
        <f>'Total Price List'!A295</f>
        <v>G Data</v>
      </c>
      <c r="B291" s="7">
        <f>'Total Price List'!B295</f>
        <v>20982</v>
      </c>
      <c r="C291" s="6"/>
      <c r="D291" s="6" t="str">
        <f>'Total Price List'!D295</f>
        <v>Renewal 3Y GD EP BUS 10+</v>
      </c>
      <c r="E291" s="6" t="str">
        <f>'Total Price List'!E295</f>
        <v>Renewal 9 &lt; x &lt; 25</v>
      </c>
      <c r="F291" s="7" t="str">
        <f>'Total Price List'!F295</f>
        <v>Renewal</v>
      </c>
      <c r="G291" s="6" t="str">
        <f>'Total Price List'!G295</f>
        <v>G Data EndpointProtection Business</v>
      </c>
      <c r="H291" s="6" t="str">
        <f>'Total Price List'!H295</f>
        <v>network license renewal 3 years</v>
      </c>
      <c r="I291" s="77">
        <f>'Total Price List'!I295</f>
        <v>58.800000000000004</v>
      </c>
      <c r="J291" s="72">
        <f>'Total Price List'!J295</f>
        <v>58.800000000000004</v>
      </c>
    </row>
    <row r="292" spans="1:10" ht="12" customHeight="1" x14ac:dyDescent="0.25">
      <c r="A292" s="85" t="str">
        <f>'Total Price List'!A296</f>
        <v>G Data</v>
      </c>
      <c r="B292" s="7">
        <f>'Total Price List'!B296</f>
        <v>20983</v>
      </c>
      <c r="C292" s="6"/>
      <c r="D292" s="6" t="str">
        <f>'Total Price List'!D296</f>
        <v>Renewal 3Y GD EP BUS 25+</v>
      </c>
      <c r="E292" s="6" t="str">
        <f>'Total Price List'!E296</f>
        <v>Renewal 24 &lt; x &lt; 50</v>
      </c>
      <c r="F292" s="7" t="str">
        <f>'Total Price List'!F296</f>
        <v>Renewal</v>
      </c>
      <c r="G292" s="6" t="str">
        <f>'Total Price List'!G296</f>
        <v>G Data EndpointProtection Business</v>
      </c>
      <c r="H292" s="6" t="str">
        <f>'Total Price List'!H296</f>
        <v>network license renewal 3 years</v>
      </c>
      <c r="I292" s="77">
        <f>'Total Price List'!I296</f>
        <v>49.440000000000005</v>
      </c>
      <c r="J292" s="72">
        <f>'Total Price List'!J296</f>
        <v>49.440000000000005</v>
      </c>
    </row>
    <row r="293" spans="1:10" ht="12" customHeight="1" x14ac:dyDescent="0.25">
      <c r="A293" s="85" t="str">
        <f>'Total Price List'!A297</f>
        <v>G Data</v>
      </c>
      <c r="B293" s="7">
        <f>'Total Price List'!B297</f>
        <v>20984</v>
      </c>
      <c r="C293" s="6"/>
      <c r="D293" s="6" t="str">
        <f>'Total Price List'!D297</f>
        <v>Renewal 3Y GD EP BUS 50+</v>
      </c>
      <c r="E293" s="6" t="str">
        <f>'Total Price List'!E297</f>
        <v>Renewal 49 &lt; x &lt; 100</v>
      </c>
      <c r="F293" s="7" t="str">
        <f>'Total Price List'!F297</f>
        <v>Renewal</v>
      </c>
      <c r="G293" s="6" t="str">
        <f>'Total Price List'!G297</f>
        <v>G Data EndpointProtection Business</v>
      </c>
      <c r="H293" s="6" t="str">
        <f>'Total Price List'!H297</f>
        <v>network license renewal 3 years</v>
      </c>
      <c r="I293" s="77">
        <f>'Total Price List'!I297</f>
        <v>46.32</v>
      </c>
      <c r="J293" s="72">
        <f>'Total Price List'!J297</f>
        <v>46.32</v>
      </c>
    </row>
    <row r="294" spans="1:10" ht="12" customHeight="1" x14ac:dyDescent="0.25">
      <c r="A294" s="85" t="str">
        <f>'Total Price List'!A298</f>
        <v>G Data</v>
      </c>
      <c r="B294" s="7">
        <f>'Total Price List'!B298</f>
        <v>20985</v>
      </c>
      <c r="C294" s="6"/>
      <c r="D294" s="6" t="str">
        <f>'Total Price List'!D298</f>
        <v>Renewal 3Y GD EP BUS 100+</v>
      </c>
      <c r="E294" s="6" t="str">
        <f>'Total Price List'!E298</f>
        <v>Renewal 99 &lt; x &lt; 250</v>
      </c>
      <c r="F294" s="7" t="str">
        <f>'Total Price List'!F298</f>
        <v>Renewal</v>
      </c>
      <c r="G294" s="6" t="str">
        <f>'Total Price List'!G298</f>
        <v>G Data EndpointProtection Business</v>
      </c>
      <c r="H294" s="6" t="str">
        <f>'Total Price List'!H298</f>
        <v>network license renewal 3 years</v>
      </c>
      <c r="I294" s="77">
        <f>'Total Price List'!I298</f>
        <v>37.56</v>
      </c>
      <c r="J294" s="72">
        <f>'Total Price List'!J298</f>
        <v>37.56</v>
      </c>
    </row>
    <row r="295" spans="1:10" ht="12" customHeight="1" x14ac:dyDescent="0.25">
      <c r="A295" s="85" t="str">
        <f>'Total Price List'!A299</f>
        <v>G Data</v>
      </c>
      <c r="B295" s="7">
        <f>'Total Price List'!B299</f>
        <v>20986</v>
      </c>
      <c r="C295" s="6"/>
      <c r="D295" s="6" t="str">
        <f>'Total Price List'!D299</f>
        <v>Renewal 3Y GD EP BUS 250+</v>
      </c>
      <c r="E295" s="6" t="str">
        <f>'Total Price List'!E299</f>
        <v>Renewal 249 &lt; x &lt; 500</v>
      </c>
      <c r="F295" s="7" t="str">
        <f>'Total Price List'!F299</f>
        <v>Renewal</v>
      </c>
      <c r="G295" s="6" t="str">
        <f>'Total Price List'!G299</f>
        <v>G Data EndpointProtection Business</v>
      </c>
      <c r="H295" s="6" t="str">
        <f>'Total Price List'!H299</f>
        <v>network license renewal 3 years</v>
      </c>
      <c r="I295" s="77">
        <f>'Total Price List'!I299</f>
        <v>29.424000000000003</v>
      </c>
      <c r="J295" s="72">
        <f>'Total Price List'!J299</f>
        <v>29.424000000000003</v>
      </c>
    </row>
    <row r="296" spans="1:10" ht="12" customHeight="1" x14ac:dyDescent="0.25">
      <c r="A296" s="85" t="str">
        <f>'Total Price List'!A300</f>
        <v>G Data</v>
      </c>
      <c r="B296" s="7">
        <f>'Total Price List'!B300</f>
        <v>20987</v>
      </c>
      <c r="C296" s="6"/>
      <c r="D296" s="6" t="str">
        <f>'Total Price List'!D300</f>
        <v>Renewal 3Y GD EP BUS 500+</v>
      </c>
      <c r="E296" s="6" t="str">
        <f>'Total Price List'!E300</f>
        <v>Renewal 499 &lt; x &lt; 1000</v>
      </c>
      <c r="F296" s="7" t="str">
        <f>'Total Price List'!F300</f>
        <v>Renewal</v>
      </c>
      <c r="G296" s="6" t="str">
        <f>'Total Price List'!G300</f>
        <v>G Data EndpointProtection Business</v>
      </c>
      <c r="H296" s="6" t="str">
        <f>'Total Price List'!H300</f>
        <v>network license renewal 3 years</v>
      </c>
      <c r="I296" s="77">
        <f>'Total Price List'!I300</f>
        <v>25.512</v>
      </c>
      <c r="J296" s="72">
        <f>'Total Price List'!J300</f>
        <v>25.512</v>
      </c>
    </row>
    <row r="297" spans="1:10" ht="12" customHeight="1" thickBot="1" x14ac:dyDescent="0.3">
      <c r="A297" s="86" t="str">
        <f>'Total Price List'!A301</f>
        <v>G Data</v>
      </c>
      <c r="B297" s="20">
        <f>'Total Price List'!B301</f>
        <v>20988</v>
      </c>
      <c r="C297" s="21"/>
      <c r="D297" s="21" t="str">
        <f>'Total Price List'!D301</f>
        <v>Renewal 3Y GD EP BUS 1000+</v>
      </c>
      <c r="E297" s="21" t="str">
        <f>'Total Price List'!E301</f>
        <v>Renewal 999 &lt; x &lt; 2500</v>
      </c>
      <c r="F297" s="20" t="str">
        <f>'Total Price List'!F301</f>
        <v>Renewal</v>
      </c>
      <c r="G297" s="21" t="str">
        <f>'Total Price List'!G301</f>
        <v>G Data EndpointProtection Business</v>
      </c>
      <c r="H297" s="21" t="str">
        <f>'Total Price List'!H301</f>
        <v>network license renewal 3 years</v>
      </c>
      <c r="I297" s="78">
        <f>'Total Price List'!I301</f>
        <v>18.2</v>
      </c>
      <c r="J297" s="73">
        <f>'Total Price List'!J301</f>
        <v>18.2</v>
      </c>
    </row>
    <row r="298" spans="1:10" ht="12" customHeight="1" x14ac:dyDescent="0.25">
      <c r="A298" s="99" t="str">
        <f>'Total Price List'!A302</f>
        <v>G Data EndpointProtection + MailSecurity + Backup network license</v>
      </c>
      <c r="B298" s="99"/>
      <c r="C298" s="99"/>
      <c r="D298" s="99"/>
      <c r="E298" s="99"/>
      <c r="F298" s="99"/>
      <c r="G298" s="99"/>
      <c r="H298" s="99"/>
      <c r="I298" s="99"/>
      <c r="J298" s="100"/>
    </row>
    <row r="299" spans="1:10" ht="12" customHeight="1" x14ac:dyDescent="0.25">
      <c r="A299" s="83" t="str">
        <f>'Total Price List'!A303</f>
        <v>G Data</v>
      </c>
      <c r="B299" s="4">
        <f>'Total Price List'!B303</f>
        <v>21011</v>
      </c>
      <c r="C299" s="3"/>
      <c r="D299" s="3" t="str">
        <f>'Total Price List'!D303</f>
        <v>License 1Y GD EP ENT -9</v>
      </c>
      <c r="E299" s="3" t="str">
        <f>'Total Price List'!E303</f>
        <v>License 4 &lt; x &lt; 10</v>
      </c>
      <c r="F299" s="4" t="str">
        <f>'Total Price List'!F303</f>
        <v>License</v>
      </c>
      <c r="G299" s="3" t="str">
        <f>'Total Price List'!G303</f>
        <v>G Data EndpointProtection + MailSecurity + Backup</v>
      </c>
      <c r="H299" s="3" t="str">
        <f>'Total Price List'!H303</f>
        <v>network license 1 year</v>
      </c>
      <c r="I299" s="64">
        <f>'Total Price List'!I303</f>
        <v>54</v>
      </c>
      <c r="J299" s="65">
        <f>'Total Price List'!J303</f>
        <v>54</v>
      </c>
    </row>
    <row r="300" spans="1:10" ht="12" customHeight="1" x14ac:dyDescent="0.25">
      <c r="A300" s="83" t="str">
        <f>'Total Price List'!A304</f>
        <v>G Data</v>
      </c>
      <c r="B300" s="4">
        <f>'Total Price List'!B304</f>
        <v>21012</v>
      </c>
      <c r="C300" s="3"/>
      <c r="D300" s="3" t="str">
        <f>'Total Price List'!D304</f>
        <v>License 1Y GD EP ENT 10+</v>
      </c>
      <c r="E300" s="3" t="str">
        <f>'Total Price List'!E304</f>
        <v>License 9 &lt; x &lt; 25</v>
      </c>
      <c r="F300" s="4" t="str">
        <f>'Total Price List'!F304</f>
        <v>License</v>
      </c>
      <c r="G300" s="3" t="str">
        <f>'Total Price List'!G304</f>
        <v>G Data EndpointProtection + MailSecurity + Backup</v>
      </c>
      <c r="H300" s="3" t="str">
        <f>'Total Price List'!H304</f>
        <v>network license 1 year</v>
      </c>
      <c r="I300" s="64">
        <f>'Total Price List'!I304</f>
        <v>45.36</v>
      </c>
      <c r="J300" s="65">
        <f>'Total Price List'!J304</f>
        <v>45.36</v>
      </c>
    </row>
    <row r="301" spans="1:10" ht="12" customHeight="1" x14ac:dyDescent="0.25">
      <c r="A301" s="83" t="str">
        <f>'Total Price List'!A305</f>
        <v>G Data</v>
      </c>
      <c r="B301" s="4">
        <f>'Total Price List'!B305</f>
        <v>21013</v>
      </c>
      <c r="C301" s="3"/>
      <c r="D301" s="3" t="str">
        <f>'Total Price List'!D305</f>
        <v>License 1Y GD EP ENT 25+</v>
      </c>
      <c r="E301" s="3" t="str">
        <f>'Total Price List'!E305</f>
        <v>License 24 &lt; x &lt; 50</v>
      </c>
      <c r="F301" s="4" t="str">
        <f>'Total Price List'!F305</f>
        <v>License</v>
      </c>
      <c r="G301" s="3" t="str">
        <f>'Total Price List'!G305</f>
        <v>G Data EndpointProtection + MailSecurity + Backup</v>
      </c>
      <c r="H301" s="3" t="str">
        <f>'Total Price List'!H305</f>
        <v>network license 1 year</v>
      </c>
      <c r="I301" s="64">
        <f>'Total Price List'!I305</f>
        <v>36.179999999999993</v>
      </c>
      <c r="J301" s="65">
        <f>'Total Price List'!J305</f>
        <v>36.179999999999993</v>
      </c>
    </row>
    <row r="302" spans="1:10" ht="12" customHeight="1" x14ac:dyDescent="0.25">
      <c r="A302" s="83" t="str">
        <f>'Total Price List'!A306</f>
        <v>G Data</v>
      </c>
      <c r="B302" s="4">
        <f>'Total Price List'!B306</f>
        <v>21014</v>
      </c>
      <c r="C302" s="3"/>
      <c r="D302" s="3" t="str">
        <f>'Total Price List'!D306</f>
        <v>License 1Y GD EP ENT 50+</v>
      </c>
      <c r="E302" s="3" t="str">
        <f>'Total Price List'!E306</f>
        <v>License 49 &lt; x &lt; 100</v>
      </c>
      <c r="F302" s="4" t="str">
        <f>'Total Price List'!F306</f>
        <v>License</v>
      </c>
      <c r="G302" s="3" t="str">
        <f>'Total Price List'!G306</f>
        <v>G Data EndpointProtection + MailSecurity + Backup</v>
      </c>
      <c r="H302" s="3" t="str">
        <f>'Total Price List'!H306</f>
        <v>network license 1 year</v>
      </c>
      <c r="I302" s="64">
        <f>'Total Price List'!I306</f>
        <v>28.08</v>
      </c>
      <c r="J302" s="65">
        <f>'Total Price List'!J306</f>
        <v>28.08</v>
      </c>
    </row>
    <row r="303" spans="1:10" ht="12" customHeight="1" x14ac:dyDescent="0.25">
      <c r="A303" s="83" t="str">
        <f>'Total Price List'!A307</f>
        <v>G Data</v>
      </c>
      <c r="B303" s="4">
        <f>'Total Price List'!B307</f>
        <v>21015</v>
      </c>
      <c r="C303" s="3"/>
      <c r="D303" s="3" t="str">
        <f>'Total Price List'!D307</f>
        <v>License 1Y GD EP ENT 100+</v>
      </c>
      <c r="E303" s="3" t="str">
        <f>'Total Price List'!E307</f>
        <v>License 99 &lt; x &lt; 250</v>
      </c>
      <c r="F303" s="4" t="str">
        <f>'Total Price List'!F307</f>
        <v>License</v>
      </c>
      <c r="G303" s="3" t="str">
        <f>'Total Price List'!G307</f>
        <v>G Data EndpointProtection + MailSecurity + Backup</v>
      </c>
      <c r="H303" s="3" t="str">
        <f>'Total Price List'!H307</f>
        <v>network license 1 year</v>
      </c>
      <c r="I303" s="64">
        <f>'Total Price List'!I307</f>
        <v>24.839999999999996</v>
      </c>
      <c r="J303" s="65">
        <f>'Total Price List'!J307</f>
        <v>24.839999999999996</v>
      </c>
    </row>
    <row r="304" spans="1:10" ht="12" customHeight="1" x14ac:dyDescent="0.25">
      <c r="A304" s="83" t="str">
        <f>'Total Price List'!A308</f>
        <v>G Data</v>
      </c>
      <c r="B304" s="4">
        <f>'Total Price List'!B308</f>
        <v>21016</v>
      </c>
      <c r="C304" s="3"/>
      <c r="D304" s="3" t="str">
        <f>'Total Price List'!D308</f>
        <v>License 1Y GD EP ENT 250+</v>
      </c>
      <c r="E304" s="3" t="str">
        <f>'Total Price List'!E308</f>
        <v>License 249 &lt; x &lt; 500</v>
      </c>
      <c r="F304" s="4" t="str">
        <f>'Total Price List'!F308</f>
        <v>License</v>
      </c>
      <c r="G304" s="3" t="str">
        <f>'Total Price List'!G308</f>
        <v>G Data EndpointProtection + MailSecurity + Backup</v>
      </c>
      <c r="H304" s="3" t="str">
        <f>'Total Price List'!H308</f>
        <v>network license 1 year</v>
      </c>
      <c r="I304" s="64">
        <f>'Total Price List'!I308</f>
        <v>21.599999999999998</v>
      </c>
      <c r="J304" s="65">
        <f>'Total Price List'!J308</f>
        <v>21.599999999999998</v>
      </c>
    </row>
    <row r="305" spans="1:10" ht="12" customHeight="1" x14ac:dyDescent="0.25">
      <c r="A305" s="83" t="str">
        <f>'Total Price List'!A309</f>
        <v>G Data</v>
      </c>
      <c r="B305" s="4">
        <f>'Total Price List'!B309</f>
        <v>21017</v>
      </c>
      <c r="C305" s="3"/>
      <c r="D305" s="3" t="str">
        <f>'Total Price List'!D309</f>
        <v>License 1Y GD EP ENT 500+</v>
      </c>
      <c r="E305" s="3" t="str">
        <f>'Total Price List'!E309</f>
        <v>License 499 &lt; x &lt; 1000</v>
      </c>
      <c r="F305" s="4" t="str">
        <f>'Total Price List'!F309</f>
        <v>License</v>
      </c>
      <c r="G305" s="3" t="str">
        <f>'Total Price List'!G309</f>
        <v>G Data EndpointProtection + MailSecurity + Backup</v>
      </c>
      <c r="H305" s="3" t="str">
        <f>'Total Price List'!H309</f>
        <v>network license 1 year</v>
      </c>
      <c r="I305" s="64">
        <f>'Total Price List'!I309</f>
        <v>19.439999999999998</v>
      </c>
      <c r="J305" s="65">
        <f>'Total Price List'!J309</f>
        <v>19.439999999999998</v>
      </c>
    </row>
    <row r="306" spans="1:10" ht="12" customHeight="1" x14ac:dyDescent="0.25">
      <c r="A306" s="83" t="str">
        <f>'Total Price List'!A310</f>
        <v>G Data</v>
      </c>
      <c r="B306" s="4">
        <f>'Total Price List'!B310</f>
        <v>21018</v>
      </c>
      <c r="C306" s="3"/>
      <c r="D306" s="3" t="str">
        <f>'Total Price List'!D310</f>
        <v>License 1Y GD EP ENT 1000+</v>
      </c>
      <c r="E306" s="3" t="str">
        <f>'Total Price List'!E310</f>
        <v>License 999 &lt; x &lt; 2500</v>
      </c>
      <c r="F306" s="4" t="str">
        <f>'Total Price List'!F310</f>
        <v>License</v>
      </c>
      <c r="G306" s="3" t="str">
        <f>'Total Price List'!G310</f>
        <v>G Data EndpointProtection + MailSecurity + Backup</v>
      </c>
      <c r="H306" s="3" t="str">
        <f>'Total Price List'!H310</f>
        <v>network license 1 year</v>
      </c>
      <c r="I306" s="64">
        <f>'Total Price List'!I310</f>
        <v>17.28</v>
      </c>
      <c r="J306" s="65">
        <f>'Total Price List'!J310</f>
        <v>17.28</v>
      </c>
    </row>
    <row r="307" spans="1:10" ht="12" customHeight="1" x14ac:dyDescent="0.25">
      <c r="A307" s="83" t="str">
        <f>'Total Price List'!A311</f>
        <v>G Data</v>
      </c>
      <c r="B307" s="4">
        <f>'Total Price List'!B311</f>
        <v>21021</v>
      </c>
      <c r="C307" s="3"/>
      <c r="D307" s="3" t="str">
        <f>'Total Price List'!D311</f>
        <v>License 2Y GD EP ENT -9</v>
      </c>
      <c r="E307" s="3" t="str">
        <f>'Total Price List'!E311</f>
        <v>License 4 &lt; x &lt; 10</v>
      </c>
      <c r="F307" s="4" t="str">
        <f>'Total Price List'!F311</f>
        <v>License</v>
      </c>
      <c r="G307" s="3" t="str">
        <f>'Total Price List'!G311</f>
        <v>G Data EndpointProtection + MailSecurity + Backup</v>
      </c>
      <c r="H307" s="3" t="str">
        <f>'Total Price List'!H311</f>
        <v>network license 2 years</v>
      </c>
      <c r="I307" s="64">
        <f>'Total Price List'!I311</f>
        <v>75.599999999999994</v>
      </c>
      <c r="J307" s="65">
        <f>'Total Price List'!J311</f>
        <v>75.599999999999994</v>
      </c>
    </row>
    <row r="308" spans="1:10" ht="12" customHeight="1" x14ac:dyDescent="0.25">
      <c r="A308" s="83" t="str">
        <f>'Total Price List'!A312</f>
        <v>G Data</v>
      </c>
      <c r="B308" s="4">
        <f>'Total Price List'!B312</f>
        <v>21022</v>
      </c>
      <c r="C308" s="3"/>
      <c r="D308" s="3" t="str">
        <f>'Total Price List'!D312</f>
        <v>License 2Y GD EP ENT 10+</v>
      </c>
      <c r="E308" s="3" t="str">
        <f>'Total Price List'!E312</f>
        <v>License 9 &lt; x &lt; 25</v>
      </c>
      <c r="F308" s="4" t="str">
        <f>'Total Price List'!F312</f>
        <v>License</v>
      </c>
      <c r="G308" s="3" t="str">
        <f>'Total Price List'!G312</f>
        <v>G Data EndpointProtection + MailSecurity + Backup</v>
      </c>
      <c r="H308" s="3" t="str">
        <f>'Total Price List'!H312</f>
        <v>network license 2 years</v>
      </c>
      <c r="I308" s="64">
        <f>'Total Price List'!I312</f>
        <v>66.959999999999994</v>
      </c>
      <c r="J308" s="65">
        <f>'Total Price List'!J312</f>
        <v>66.959999999999994</v>
      </c>
    </row>
    <row r="309" spans="1:10" ht="12" customHeight="1" x14ac:dyDescent="0.25">
      <c r="A309" s="83" t="str">
        <f>'Total Price List'!A313</f>
        <v>G Data</v>
      </c>
      <c r="B309" s="4">
        <f>'Total Price List'!B313</f>
        <v>21023</v>
      </c>
      <c r="C309" s="3"/>
      <c r="D309" s="3" t="str">
        <f>'Total Price List'!D313</f>
        <v>License 2Y GD EP ENT 25+</v>
      </c>
      <c r="E309" s="3" t="str">
        <f>'Total Price List'!E313</f>
        <v>License 24 &lt; x &lt; 50</v>
      </c>
      <c r="F309" s="4" t="str">
        <f>'Total Price List'!F313</f>
        <v>License</v>
      </c>
      <c r="G309" s="3" t="str">
        <f>'Total Price List'!G313</f>
        <v>G Data EndpointProtection + MailSecurity + Backup</v>
      </c>
      <c r="H309" s="3" t="str">
        <f>'Total Price List'!H313</f>
        <v>network license 2 years</v>
      </c>
      <c r="I309" s="64">
        <f>'Total Price List'!I313</f>
        <v>51.839999999999989</v>
      </c>
      <c r="J309" s="65">
        <f>'Total Price List'!J313</f>
        <v>51.839999999999989</v>
      </c>
    </row>
    <row r="310" spans="1:10" ht="12" customHeight="1" x14ac:dyDescent="0.25">
      <c r="A310" s="83" t="str">
        <f>'Total Price List'!A314</f>
        <v>G Data</v>
      </c>
      <c r="B310" s="4">
        <f>'Total Price List'!B314</f>
        <v>21024</v>
      </c>
      <c r="C310" s="3"/>
      <c r="D310" s="3" t="str">
        <f>'Total Price List'!D314</f>
        <v>License 2Y GD EP ENT 50+</v>
      </c>
      <c r="E310" s="3" t="str">
        <f>'Total Price List'!E314</f>
        <v>License 49 &lt; x &lt; 100</v>
      </c>
      <c r="F310" s="4" t="str">
        <f>'Total Price List'!F314</f>
        <v>License</v>
      </c>
      <c r="G310" s="3" t="str">
        <f>'Total Price List'!G314</f>
        <v>G Data EndpointProtection + MailSecurity + Backup</v>
      </c>
      <c r="H310" s="3" t="str">
        <f>'Total Price List'!H314</f>
        <v>network license 2 years</v>
      </c>
      <c r="I310" s="64">
        <f>'Total Price List'!I314</f>
        <v>43.199999999999996</v>
      </c>
      <c r="J310" s="65">
        <f>'Total Price List'!J314</f>
        <v>43.199999999999996</v>
      </c>
    </row>
    <row r="311" spans="1:10" ht="12" customHeight="1" x14ac:dyDescent="0.25">
      <c r="A311" s="83" t="str">
        <f>'Total Price List'!A315</f>
        <v>G Data</v>
      </c>
      <c r="B311" s="4">
        <f>'Total Price List'!B315</f>
        <v>21025</v>
      </c>
      <c r="C311" s="3"/>
      <c r="D311" s="3" t="str">
        <f>'Total Price List'!D315</f>
        <v>License 2Y GD EP ENT 100+</v>
      </c>
      <c r="E311" s="3" t="str">
        <f>'Total Price List'!E315</f>
        <v>License 99 &lt; x &lt; 250</v>
      </c>
      <c r="F311" s="4" t="str">
        <f>'Total Price List'!F315</f>
        <v>License</v>
      </c>
      <c r="G311" s="3" t="str">
        <f>'Total Price List'!G315</f>
        <v>G Data EndpointProtection + MailSecurity + Backup</v>
      </c>
      <c r="H311" s="3" t="str">
        <f>'Total Price List'!H315</f>
        <v>network license 2 years</v>
      </c>
      <c r="I311" s="64">
        <f>'Total Price List'!I315</f>
        <v>37.799999999999997</v>
      </c>
      <c r="J311" s="65">
        <f>'Total Price List'!J315</f>
        <v>37.799999999999997</v>
      </c>
    </row>
    <row r="312" spans="1:10" ht="12" customHeight="1" x14ac:dyDescent="0.25">
      <c r="A312" s="83" t="str">
        <f>'Total Price List'!A316</f>
        <v>G Data</v>
      </c>
      <c r="B312" s="4">
        <f>'Total Price List'!B316</f>
        <v>21026</v>
      </c>
      <c r="C312" s="3"/>
      <c r="D312" s="3" t="str">
        <f>'Total Price List'!D316</f>
        <v>License 2Y GD EP ENT 250+</v>
      </c>
      <c r="E312" s="3" t="str">
        <f>'Total Price List'!E316</f>
        <v>License 249 &lt; x &lt; 500</v>
      </c>
      <c r="F312" s="4" t="str">
        <f>'Total Price List'!F316</f>
        <v>License</v>
      </c>
      <c r="G312" s="3" t="str">
        <f>'Total Price List'!G316</f>
        <v>G Data EndpointProtection + MailSecurity + Backup</v>
      </c>
      <c r="H312" s="3" t="str">
        <f>'Total Price List'!H316</f>
        <v>network license 2 years</v>
      </c>
      <c r="I312" s="64">
        <f>'Total Price List'!I316</f>
        <v>32.4</v>
      </c>
      <c r="J312" s="65">
        <f>'Total Price List'!J316</f>
        <v>32.4</v>
      </c>
    </row>
    <row r="313" spans="1:10" ht="12" customHeight="1" x14ac:dyDescent="0.25">
      <c r="A313" s="83" t="str">
        <f>'Total Price List'!A317</f>
        <v>G Data</v>
      </c>
      <c r="B313" s="4">
        <f>'Total Price List'!B317</f>
        <v>21027</v>
      </c>
      <c r="C313" s="3"/>
      <c r="D313" s="3" t="str">
        <f>'Total Price List'!D317</f>
        <v>License 2Y GD EP ENT 500+</v>
      </c>
      <c r="E313" s="3" t="str">
        <f>'Total Price List'!E317</f>
        <v>License 499 &lt; x &lt; 1000</v>
      </c>
      <c r="F313" s="4" t="str">
        <f>'Total Price List'!F317</f>
        <v>License</v>
      </c>
      <c r="G313" s="3" t="str">
        <f>'Total Price List'!G317</f>
        <v>G Data EndpointProtection + MailSecurity + Backup</v>
      </c>
      <c r="H313" s="3" t="str">
        <f>'Total Price List'!H317</f>
        <v>network license 2 years</v>
      </c>
      <c r="I313" s="64">
        <f>'Total Price List'!I317</f>
        <v>29.159999999999997</v>
      </c>
      <c r="J313" s="65">
        <f>'Total Price List'!J317</f>
        <v>29.159999999999997</v>
      </c>
    </row>
    <row r="314" spans="1:10" ht="12" customHeight="1" x14ac:dyDescent="0.25">
      <c r="A314" s="83" t="str">
        <f>'Total Price List'!A318</f>
        <v>G Data</v>
      </c>
      <c r="B314" s="4">
        <f>'Total Price List'!B318</f>
        <v>21028</v>
      </c>
      <c r="C314" s="3"/>
      <c r="D314" s="3" t="str">
        <f>'Total Price List'!D318</f>
        <v>License 2Y GD EP ENT 1000+</v>
      </c>
      <c r="E314" s="3" t="str">
        <f>'Total Price List'!E318</f>
        <v>License 999 &lt; x &lt; 2500</v>
      </c>
      <c r="F314" s="4" t="str">
        <f>'Total Price List'!F318</f>
        <v>License</v>
      </c>
      <c r="G314" s="3" t="str">
        <f>'Total Price List'!G318</f>
        <v>G Data EndpointProtection + MailSecurity + Backup</v>
      </c>
      <c r="H314" s="3" t="str">
        <f>'Total Price List'!H318</f>
        <v>network license 2 years</v>
      </c>
      <c r="I314" s="64">
        <f>'Total Price List'!I318</f>
        <v>27</v>
      </c>
      <c r="J314" s="65">
        <f>'Total Price List'!J318</f>
        <v>27</v>
      </c>
    </row>
    <row r="315" spans="1:10" ht="12" customHeight="1" x14ac:dyDescent="0.25">
      <c r="A315" s="83" t="str">
        <f>'Total Price List'!A319</f>
        <v>G Data</v>
      </c>
      <c r="B315" s="4">
        <f>'Total Price List'!B319</f>
        <v>21031</v>
      </c>
      <c r="C315" s="3"/>
      <c r="D315" s="3" t="str">
        <f>'Total Price List'!D319</f>
        <v>License 3Y GD EP ENT -9</v>
      </c>
      <c r="E315" s="3" t="str">
        <f>'Total Price List'!E319</f>
        <v>License 4 &lt; x &lt; 10</v>
      </c>
      <c r="F315" s="4" t="str">
        <f>'Total Price List'!F319</f>
        <v>License</v>
      </c>
      <c r="G315" s="3" t="str">
        <f>'Total Price List'!G319</f>
        <v>G Data EndpointProtection + MailSecurity + Backup</v>
      </c>
      <c r="H315" s="3" t="str">
        <f>'Total Price List'!H319</f>
        <v>network license 3 years</v>
      </c>
      <c r="I315" s="64">
        <f>'Total Price List'!I319</f>
        <v>96.12</v>
      </c>
      <c r="J315" s="65">
        <f>'Total Price List'!J319</f>
        <v>96.12</v>
      </c>
    </row>
    <row r="316" spans="1:10" ht="12" customHeight="1" x14ac:dyDescent="0.25">
      <c r="A316" s="83" t="str">
        <f>'Total Price List'!A320</f>
        <v>G Data</v>
      </c>
      <c r="B316" s="4">
        <f>'Total Price List'!B320</f>
        <v>21032</v>
      </c>
      <c r="C316" s="3"/>
      <c r="D316" s="3" t="str">
        <f>'Total Price List'!D320</f>
        <v>License 3Y GD EP ENT 10+</v>
      </c>
      <c r="E316" s="3" t="str">
        <f>'Total Price List'!E320</f>
        <v>License 9 &lt; x &lt; 25</v>
      </c>
      <c r="F316" s="4" t="str">
        <f>'Total Price List'!F320</f>
        <v>License</v>
      </c>
      <c r="G316" s="3" t="str">
        <f>'Total Price List'!G320</f>
        <v>G Data EndpointProtection + MailSecurity + Backup</v>
      </c>
      <c r="H316" s="3" t="str">
        <f>'Total Price List'!H320</f>
        <v>network license 3 years</v>
      </c>
      <c r="I316" s="64">
        <f>'Total Price List'!I320</f>
        <v>85.32</v>
      </c>
      <c r="J316" s="65">
        <f>'Total Price List'!J320</f>
        <v>85.32</v>
      </c>
    </row>
    <row r="317" spans="1:10" ht="12" customHeight="1" x14ac:dyDescent="0.25">
      <c r="A317" s="83" t="str">
        <f>'Total Price List'!A321</f>
        <v>G Data</v>
      </c>
      <c r="B317" s="4">
        <f>'Total Price List'!B321</f>
        <v>21033</v>
      </c>
      <c r="C317" s="3"/>
      <c r="D317" s="3" t="str">
        <f>'Total Price List'!D321</f>
        <v>License 3Y GD EP ENT 25+</v>
      </c>
      <c r="E317" s="3" t="str">
        <f>'Total Price List'!E321</f>
        <v>License 24 &lt; x &lt; 50</v>
      </c>
      <c r="F317" s="4" t="str">
        <f>'Total Price List'!F321</f>
        <v>License</v>
      </c>
      <c r="G317" s="3" t="str">
        <f>'Total Price List'!G321</f>
        <v>G Data EndpointProtection + MailSecurity + Backup</v>
      </c>
      <c r="H317" s="3" t="str">
        <f>'Total Price List'!H321</f>
        <v>network license 3 years</v>
      </c>
      <c r="I317" s="64">
        <f>'Total Price List'!I321</f>
        <v>73.44</v>
      </c>
      <c r="J317" s="65">
        <f>'Total Price List'!J321</f>
        <v>73.44</v>
      </c>
    </row>
    <row r="318" spans="1:10" ht="12" customHeight="1" x14ac:dyDescent="0.25">
      <c r="A318" s="83" t="str">
        <f>'Total Price List'!A322</f>
        <v>G Data</v>
      </c>
      <c r="B318" s="4">
        <f>'Total Price List'!B322</f>
        <v>21034</v>
      </c>
      <c r="C318" s="3"/>
      <c r="D318" s="3" t="str">
        <f>'Total Price List'!D322</f>
        <v>License 3Y GD EP ENT 50+</v>
      </c>
      <c r="E318" s="3" t="str">
        <f>'Total Price List'!E322</f>
        <v>License 49 &lt; x &lt; 100</v>
      </c>
      <c r="F318" s="4" t="str">
        <f>'Total Price List'!F322</f>
        <v>License</v>
      </c>
      <c r="G318" s="3" t="str">
        <f>'Total Price List'!G322</f>
        <v>G Data EndpointProtection + MailSecurity + Backup</v>
      </c>
      <c r="H318" s="3" t="str">
        <f>'Total Price List'!H322</f>
        <v>network license 3 years</v>
      </c>
      <c r="I318" s="64">
        <f>'Total Price List'!I322</f>
        <v>62.64</v>
      </c>
      <c r="J318" s="65">
        <f>'Total Price List'!J322</f>
        <v>62.64</v>
      </c>
    </row>
    <row r="319" spans="1:10" ht="12" customHeight="1" x14ac:dyDescent="0.25">
      <c r="A319" s="83" t="str">
        <f>'Total Price List'!A323</f>
        <v>G Data</v>
      </c>
      <c r="B319" s="4">
        <f>'Total Price List'!B323</f>
        <v>21035</v>
      </c>
      <c r="C319" s="3"/>
      <c r="D319" s="3" t="str">
        <f>'Total Price List'!D323</f>
        <v>License 3Y GD EP ENT 100+</v>
      </c>
      <c r="E319" s="3" t="str">
        <f>'Total Price List'!E323</f>
        <v>License 99 &lt; x &lt; 250</v>
      </c>
      <c r="F319" s="4" t="str">
        <f>'Total Price List'!F323</f>
        <v>License</v>
      </c>
      <c r="G319" s="3" t="str">
        <f>'Total Price List'!G323</f>
        <v>G Data EndpointProtection + MailSecurity + Backup</v>
      </c>
      <c r="H319" s="3" t="str">
        <f>'Total Price List'!H323</f>
        <v>network license 3 years</v>
      </c>
      <c r="I319" s="64">
        <f>'Total Price List'!I323</f>
        <v>52.919999999999987</v>
      </c>
      <c r="J319" s="65">
        <f>'Total Price List'!J323</f>
        <v>52.919999999999987</v>
      </c>
    </row>
    <row r="320" spans="1:10" ht="12" customHeight="1" x14ac:dyDescent="0.25">
      <c r="A320" s="83" t="str">
        <f>'Total Price List'!A324</f>
        <v>G Data</v>
      </c>
      <c r="B320" s="4">
        <f>'Total Price List'!B324</f>
        <v>21036</v>
      </c>
      <c r="C320" s="3"/>
      <c r="D320" s="3" t="str">
        <f>'Total Price List'!D324</f>
        <v>License 3Y GD EP ENT 250+</v>
      </c>
      <c r="E320" s="3" t="str">
        <f>'Total Price List'!E324</f>
        <v>License 249 &lt; x &lt; 500</v>
      </c>
      <c r="F320" s="4" t="str">
        <f>'Total Price List'!F324</f>
        <v>License</v>
      </c>
      <c r="G320" s="3" t="str">
        <f>'Total Price List'!G324</f>
        <v>G Data EndpointProtection + MailSecurity + Backup</v>
      </c>
      <c r="H320" s="3" t="str">
        <f>'Total Price List'!H324</f>
        <v>network license 3 years</v>
      </c>
      <c r="I320" s="64">
        <f>'Total Price List'!I324</f>
        <v>44.279999999999994</v>
      </c>
      <c r="J320" s="65">
        <f>'Total Price List'!J324</f>
        <v>44.279999999999994</v>
      </c>
    </row>
    <row r="321" spans="1:10" ht="12" customHeight="1" x14ac:dyDescent="0.25">
      <c r="A321" s="83" t="str">
        <f>'Total Price List'!A325</f>
        <v>G Data</v>
      </c>
      <c r="B321" s="4">
        <f>'Total Price List'!B325</f>
        <v>21037</v>
      </c>
      <c r="C321" s="3"/>
      <c r="D321" s="3" t="str">
        <f>'Total Price List'!D325</f>
        <v>License 3Y GD EP ENT 500+</v>
      </c>
      <c r="E321" s="3" t="str">
        <f>'Total Price List'!E325</f>
        <v>License 499 &lt; x &lt; 1000</v>
      </c>
      <c r="F321" s="4" t="str">
        <f>'Total Price List'!F325</f>
        <v>License</v>
      </c>
      <c r="G321" s="3" t="str">
        <f>'Total Price List'!G325</f>
        <v>G Data EndpointProtection + MailSecurity + Backup</v>
      </c>
      <c r="H321" s="3" t="str">
        <f>'Total Price List'!H325</f>
        <v>network license 3 years</v>
      </c>
      <c r="I321" s="64">
        <f>'Total Price List'!I325</f>
        <v>39.959999999999994</v>
      </c>
      <c r="J321" s="65">
        <f>'Total Price List'!J325</f>
        <v>39.959999999999994</v>
      </c>
    </row>
    <row r="322" spans="1:10" ht="12" customHeight="1" thickBot="1" x14ac:dyDescent="0.3">
      <c r="A322" s="84" t="str">
        <f>'Total Price List'!A326</f>
        <v>G Data</v>
      </c>
      <c r="B322" s="24">
        <f>'Total Price List'!B326</f>
        <v>21038</v>
      </c>
      <c r="C322" s="25"/>
      <c r="D322" s="25" t="str">
        <f>'Total Price List'!D326</f>
        <v>License 3Y GD EP ENT 1000+</v>
      </c>
      <c r="E322" s="25" t="str">
        <f>'Total Price List'!E326</f>
        <v>License 999 &lt; x &lt; 2500</v>
      </c>
      <c r="F322" s="24" t="str">
        <f>'Total Price List'!F326</f>
        <v>License</v>
      </c>
      <c r="G322" s="25" t="str">
        <f>'Total Price List'!G326</f>
        <v>G Data EndpointProtection + MailSecurity + Backup</v>
      </c>
      <c r="H322" s="25" t="str">
        <f>'Total Price List'!H326</f>
        <v>network license 3 years</v>
      </c>
      <c r="I322" s="66">
        <f>'Total Price List'!I326</f>
        <v>35.64</v>
      </c>
      <c r="J322" s="67">
        <f>'Total Price List'!J326</f>
        <v>35.64</v>
      </c>
    </row>
    <row r="323" spans="1:10" ht="12" customHeight="1" x14ac:dyDescent="0.25">
      <c r="A323" s="99" t="str">
        <f>'Total Price List'!A327</f>
        <v>G Data EndpointProtection + MailSecurity + Backup network license renewal</v>
      </c>
      <c r="B323" s="99"/>
      <c r="C323" s="99"/>
      <c r="D323" s="99"/>
      <c r="E323" s="99"/>
      <c r="F323" s="99"/>
      <c r="G323" s="99"/>
      <c r="H323" s="99"/>
      <c r="I323" s="99"/>
      <c r="J323" s="100"/>
    </row>
    <row r="324" spans="1:10" ht="12" customHeight="1" x14ac:dyDescent="0.25">
      <c r="A324" s="85" t="str">
        <f>'Total Price List'!A328</f>
        <v>G Data</v>
      </c>
      <c r="B324" s="7">
        <f>'Total Price List'!B328</f>
        <v>21061</v>
      </c>
      <c r="C324" s="6"/>
      <c r="D324" s="6" t="str">
        <f>'Total Price List'!D328</f>
        <v>Renewal 1Y GD EP ENT -9</v>
      </c>
      <c r="E324" s="6" t="str">
        <f>'Total Price List'!E328</f>
        <v>Renewal 4 &lt; x &lt; 10</v>
      </c>
      <c r="F324" s="7" t="str">
        <f>'Total Price List'!F328</f>
        <v>Renewal</v>
      </c>
      <c r="G324" s="6" t="str">
        <f>'Total Price List'!G328</f>
        <v>G Data EndpointProtection + MailSecurity + Backup</v>
      </c>
      <c r="H324" s="6" t="str">
        <f>'Total Price List'!H328</f>
        <v>network license renewal 1 year</v>
      </c>
      <c r="I324" s="77">
        <f>'Total Price List'!I328</f>
        <v>28.8</v>
      </c>
      <c r="J324" s="72">
        <f>'Total Price List'!J328</f>
        <v>28.8</v>
      </c>
    </row>
    <row r="325" spans="1:10" ht="12" customHeight="1" x14ac:dyDescent="0.25">
      <c r="A325" s="85" t="str">
        <f>'Total Price List'!A329</f>
        <v>G Data</v>
      </c>
      <c r="B325" s="7">
        <f>'Total Price List'!B329</f>
        <v>21062</v>
      </c>
      <c r="C325" s="6"/>
      <c r="D325" s="6" t="str">
        <f>'Total Price List'!D329</f>
        <v>Renewal 1Y GD EP ENT 10+</v>
      </c>
      <c r="E325" s="6" t="str">
        <f>'Total Price List'!E329</f>
        <v>Renewal 9 &lt; x &lt; 25</v>
      </c>
      <c r="F325" s="7" t="str">
        <f>'Total Price List'!F329</f>
        <v>Renewal</v>
      </c>
      <c r="G325" s="6" t="str">
        <f>'Total Price List'!G329</f>
        <v>G Data EndpointProtection + MailSecurity + Backup</v>
      </c>
      <c r="H325" s="6" t="str">
        <f>'Total Price List'!H329</f>
        <v>network license renewal 1 year</v>
      </c>
      <c r="I325" s="77">
        <f>'Total Price List'!I329</f>
        <v>28.223999999999997</v>
      </c>
      <c r="J325" s="72">
        <f>'Total Price List'!J329</f>
        <v>28.223999999999997</v>
      </c>
    </row>
    <row r="326" spans="1:10" ht="12" customHeight="1" x14ac:dyDescent="0.25">
      <c r="A326" s="85" t="str">
        <f>'Total Price List'!A330</f>
        <v>G Data</v>
      </c>
      <c r="B326" s="7">
        <f>'Total Price List'!B330</f>
        <v>21063</v>
      </c>
      <c r="C326" s="6"/>
      <c r="D326" s="6" t="str">
        <f>'Total Price List'!D330</f>
        <v>Renewal 1Y GD EP ENT 25+</v>
      </c>
      <c r="E326" s="6" t="str">
        <f>'Total Price List'!E330</f>
        <v>Renewal 24 &lt; x &lt; 50</v>
      </c>
      <c r="F326" s="7" t="str">
        <f>'Total Price List'!F330</f>
        <v>Renewal</v>
      </c>
      <c r="G326" s="6" t="str">
        <f>'Total Price List'!G330</f>
        <v>G Data EndpointProtection + MailSecurity + Backup</v>
      </c>
      <c r="H326" s="6" t="str">
        <f>'Total Price List'!H330</f>
        <v>network license renewal 1 year</v>
      </c>
      <c r="I326" s="77">
        <f>'Total Price List'!I330</f>
        <v>23.731200000000001</v>
      </c>
      <c r="J326" s="72">
        <f>'Total Price List'!J330</f>
        <v>23.731200000000001</v>
      </c>
    </row>
    <row r="327" spans="1:10" ht="12" customHeight="1" x14ac:dyDescent="0.25">
      <c r="A327" s="85" t="str">
        <f>'Total Price List'!A331</f>
        <v>G Data</v>
      </c>
      <c r="B327" s="7">
        <f>'Total Price List'!B331</f>
        <v>21064</v>
      </c>
      <c r="C327" s="6"/>
      <c r="D327" s="6" t="str">
        <f>'Total Price List'!D331</f>
        <v>Renewal 1Y GD EP ENT 50+</v>
      </c>
      <c r="E327" s="6" t="str">
        <f>'Total Price List'!E331</f>
        <v>Renewal 49 &lt; x &lt; 100</v>
      </c>
      <c r="F327" s="7" t="str">
        <f>'Total Price List'!F331</f>
        <v>Renewal</v>
      </c>
      <c r="G327" s="6" t="str">
        <f>'Total Price List'!G331</f>
        <v>G Data EndpointProtection + MailSecurity + Backup</v>
      </c>
      <c r="H327" s="6" t="str">
        <f>'Total Price List'!H331</f>
        <v>network license renewal 1 year</v>
      </c>
      <c r="I327" s="77">
        <f>'Total Price List'!I331</f>
        <v>22.233599999999999</v>
      </c>
      <c r="J327" s="72">
        <f>'Total Price List'!J331</f>
        <v>22.233599999999999</v>
      </c>
    </row>
    <row r="328" spans="1:10" ht="12" customHeight="1" x14ac:dyDescent="0.25">
      <c r="A328" s="85" t="str">
        <f>'Total Price List'!A332</f>
        <v>G Data</v>
      </c>
      <c r="B328" s="7">
        <f>'Total Price List'!B332</f>
        <v>21065</v>
      </c>
      <c r="C328" s="6"/>
      <c r="D328" s="6" t="str">
        <f>'Total Price List'!D332</f>
        <v>Renewal 1Y GD EP ENT 100+</v>
      </c>
      <c r="E328" s="6" t="str">
        <f>'Total Price List'!E332</f>
        <v>Renewal 99 &lt; x &lt; 250</v>
      </c>
      <c r="F328" s="7" t="str">
        <f>'Total Price List'!F332</f>
        <v>Renewal</v>
      </c>
      <c r="G328" s="6" t="str">
        <f>'Total Price List'!G332</f>
        <v>G Data EndpointProtection + MailSecurity + Backup</v>
      </c>
      <c r="H328" s="6" t="str">
        <f>'Total Price List'!H332</f>
        <v>network license renewal 1 year</v>
      </c>
      <c r="I328" s="77">
        <f>'Total Price List'!I332</f>
        <v>18.0288</v>
      </c>
      <c r="J328" s="72">
        <f>'Total Price List'!J332</f>
        <v>18.0288</v>
      </c>
    </row>
    <row r="329" spans="1:10" ht="12" customHeight="1" x14ac:dyDescent="0.25">
      <c r="A329" s="85" t="str">
        <f>'Total Price List'!A333</f>
        <v>G Data</v>
      </c>
      <c r="B329" s="7">
        <f>'Total Price List'!B333</f>
        <v>21066</v>
      </c>
      <c r="C329" s="6"/>
      <c r="D329" s="6" t="str">
        <f>'Total Price List'!D333</f>
        <v>Renewal 1Y GD EP ENT 250+</v>
      </c>
      <c r="E329" s="6" t="str">
        <f>'Total Price List'!E333</f>
        <v>Renewal 249 &lt; x &lt; 500</v>
      </c>
      <c r="F329" s="7" t="str">
        <f>'Total Price List'!F333</f>
        <v>Renewal</v>
      </c>
      <c r="G329" s="6" t="str">
        <f>'Total Price List'!G333</f>
        <v>G Data EndpointProtection + MailSecurity + Backup</v>
      </c>
      <c r="H329" s="6" t="str">
        <f>'Total Price List'!H333</f>
        <v>network license renewal 1 year</v>
      </c>
      <c r="I329" s="77">
        <f>'Total Price List'!I333</f>
        <v>14.123519999999999</v>
      </c>
      <c r="J329" s="72">
        <f>'Total Price List'!J333</f>
        <v>14.123519999999999</v>
      </c>
    </row>
    <row r="330" spans="1:10" ht="12" customHeight="1" x14ac:dyDescent="0.25">
      <c r="A330" s="85" t="str">
        <f>'Total Price List'!A334</f>
        <v>G Data</v>
      </c>
      <c r="B330" s="7">
        <f>'Total Price List'!B334</f>
        <v>21067</v>
      </c>
      <c r="C330" s="6"/>
      <c r="D330" s="6" t="str">
        <f>'Total Price List'!D334</f>
        <v>Renewal 1Y GD EP ENT 500+</v>
      </c>
      <c r="E330" s="6" t="str">
        <f>'Total Price List'!E334</f>
        <v>Renewal 499 &lt; x &lt; 1000</v>
      </c>
      <c r="F330" s="7" t="str">
        <f>'Total Price List'!F334</f>
        <v>Renewal</v>
      </c>
      <c r="G330" s="6" t="str">
        <f>'Total Price List'!G334</f>
        <v>G Data EndpointProtection + MailSecurity + Backup</v>
      </c>
      <c r="H330" s="6" t="str">
        <f>'Total Price List'!H334</f>
        <v>network license renewal 1 year</v>
      </c>
      <c r="I330" s="77">
        <f>'Total Price List'!I334</f>
        <v>12.245760000000001</v>
      </c>
      <c r="J330" s="72">
        <f>'Total Price List'!J334</f>
        <v>12.245760000000001</v>
      </c>
    </row>
    <row r="331" spans="1:10" ht="12" customHeight="1" x14ac:dyDescent="0.25">
      <c r="A331" s="85" t="str">
        <f>'Total Price List'!A335</f>
        <v>G Data</v>
      </c>
      <c r="B331" s="7">
        <f>'Total Price List'!B335</f>
        <v>21068</v>
      </c>
      <c r="C331" s="6"/>
      <c r="D331" s="6" t="str">
        <f>'Total Price List'!D335</f>
        <v>Renewal 1Y GD EP ENT 1000+</v>
      </c>
      <c r="E331" s="6" t="str">
        <f>'Total Price List'!E335</f>
        <v>Renewal 999 &lt; x &lt; 2500</v>
      </c>
      <c r="F331" s="7" t="str">
        <f>'Total Price List'!F335</f>
        <v>Renewal</v>
      </c>
      <c r="G331" s="6" t="str">
        <f>'Total Price List'!G335</f>
        <v>G Data EndpointProtection + MailSecurity + Backup</v>
      </c>
      <c r="H331" s="6" t="str">
        <f>'Total Price List'!H335</f>
        <v>network license renewal 1 year</v>
      </c>
      <c r="I331" s="77">
        <f>'Total Price List'!I335</f>
        <v>10.4832</v>
      </c>
      <c r="J331" s="72">
        <f>'Total Price List'!J335</f>
        <v>10.4832</v>
      </c>
    </row>
    <row r="332" spans="1:10" ht="12" customHeight="1" x14ac:dyDescent="0.25">
      <c r="A332" s="85" t="str">
        <f>'Total Price List'!A336</f>
        <v>G Data</v>
      </c>
      <c r="B332" s="7">
        <f>'Total Price List'!B336</f>
        <v>21071</v>
      </c>
      <c r="C332" s="6"/>
      <c r="D332" s="6" t="str">
        <f>'Total Price List'!D336</f>
        <v>Renewal 2Y GD EP ENT -9</v>
      </c>
      <c r="E332" s="6" t="str">
        <f>'Total Price List'!E336</f>
        <v>Renewal 4 &lt; x &lt; 10</v>
      </c>
      <c r="F332" s="7" t="str">
        <f>'Total Price List'!F336</f>
        <v>Renewal</v>
      </c>
      <c r="G332" s="6" t="str">
        <f>'Total Price List'!G336</f>
        <v>G Data EndpointProtection + MailSecurity + Backup</v>
      </c>
      <c r="H332" s="6" t="str">
        <f>'Total Price List'!H336</f>
        <v>network license renewal 2 years</v>
      </c>
      <c r="I332" s="77">
        <f>'Total Price List'!I336</f>
        <v>50.400000000000006</v>
      </c>
      <c r="J332" s="72">
        <f>'Total Price List'!J336</f>
        <v>50.400000000000006</v>
      </c>
    </row>
    <row r="333" spans="1:10" ht="12" customHeight="1" x14ac:dyDescent="0.25">
      <c r="A333" s="85" t="str">
        <f>'Total Price List'!A337</f>
        <v>G Data</v>
      </c>
      <c r="B333" s="7">
        <f>'Total Price List'!B337</f>
        <v>21072</v>
      </c>
      <c r="C333" s="6"/>
      <c r="D333" s="6" t="str">
        <f>'Total Price List'!D337</f>
        <v>Renewal 2Y GD EP ENT 10+</v>
      </c>
      <c r="E333" s="6" t="str">
        <f>'Total Price List'!E337</f>
        <v>Renewal 9 &lt; x &lt; 25</v>
      </c>
      <c r="F333" s="7" t="str">
        <f>'Total Price List'!F337</f>
        <v>Renewal</v>
      </c>
      <c r="G333" s="6" t="str">
        <f>'Total Price List'!G337</f>
        <v>G Data EndpointProtection + MailSecurity + Backup</v>
      </c>
      <c r="H333" s="6" t="str">
        <f>'Total Price List'!H337</f>
        <v>network license renewal 2 years</v>
      </c>
      <c r="I333" s="77">
        <f>'Total Price List'!I337</f>
        <v>49.391999999999996</v>
      </c>
      <c r="J333" s="72">
        <f>'Total Price List'!J337</f>
        <v>49.391999999999996</v>
      </c>
    </row>
    <row r="334" spans="1:10" ht="12" customHeight="1" x14ac:dyDescent="0.25">
      <c r="A334" s="85" t="str">
        <f>'Total Price List'!A338</f>
        <v>G Data</v>
      </c>
      <c r="B334" s="7">
        <f>'Total Price List'!B338</f>
        <v>21073</v>
      </c>
      <c r="C334" s="6"/>
      <c r="D334" s="6" t="str">
        <f>'Total Price List'!D338</f>
        <v>Renewal 2Y GD EP ENT 25+</v>
      </c>
      <c r="E334" s="6" t="str">
        <f>'Total Price List'!E338</f>
        <v>Renewal 24 &lt; x &lt; 50</v>
      </c>
      <c r="F334" s="7" t="str">
        <f>'Total Price List'!F338</f>
        <v>Renewal</v>
      </c>
      <c r="G334" s="6" t="str">
        <f>'Total Price List'!G338</f>
        <v>G Data EndpointProtection + MailSecurity + Backup</v>
      </c>
      <c r="H334" s="6" t="str">
        <f>'Total Price List'!H338</f>
        <v>network license renewal 2 years</v>
      </c>
      <c r="I334" s="77">
        <f>'Total Price List'!I338</f>
        <v>41.529600000000009</v>
      </c>
      <c r="J334" s="72">
        <f>'Total Price List'!J338</f>
        <v>41.529600000000009</v>
      </c>
    </row>
    <row r="335" spans="1:10" ht="12" customHeight="1" x14ac:dyDescent="0.25">
      <c r="A335" s="85" t="str">
        <f>'Total Price List'!A339</f>
        <v>G Data</v>
      </c>
      <c r="B335" s="7">
        <f>'Total Price List'!B339</f>
        <v>21074</v>
      </c>
      <c r="C335" s="6"/>
      <c r="D335" s="6" t="str">
        <f>'Total Price List'!D339</f>
        <v>Renewal 2Y GD EP ENT 50+</v>
      </c>
      <c r="E335" s="6" t="str">
        <f>'Total Price List'!E339</f>
        <v>Renewal 49 &lt; x &lt; 100</v>
      </c>
      <c r="F335" s="7" t="str">
        <f>'Total Price List'!F339</f>
        <v>Renewal</v>
      </c>
      <c r="G335" s="6" t="str">
        <f>'Total Price List'!G339</f>
        <v>G Data EndpointProtection + MailSecurity + Backup</v>
      </c>
      <c r="H335" s="6" t="str">
        <f>'Total Price List'!H339</f>
        <v>network license renewal 2 years</v>
      </c>
      <c r="I335" s="77">
        <f>'Total Price List'!I339</f>
        <v>38.908800000000006</v>
      </c>
      <c r="J335" s="72">
        <f>'Total Price List'!J339</f>
        <v>38.908800000000006</v>
      </c>
    </row>
    <row r="336" spans="1:10" ht="12" customHeight="1" x14ac:dyDescent="0.25">
      <c r="A336" s="85" t="str">
        <f>'Total Price List'!A340</f>
        <v>G Data</v>
      </c>
      <c r="B336" s="7">
        <f>'Total Price List'!B340</f>
        <v>21075</v>
      </c>
      <c r="C336" s="6"/>
      <c r="D336" s="6" t="str">
        <f>'Total Price List'!D340</f>
        <v>Renewal 2Y GD EP ENT 100+</v>
      </c>
      <c r="E336" s="6" t="str">
        <f>'Total Price List'!E340</f>
        <v>Renewal 99 &lt; x &lt; 250</v>
      </c>
      <c r="F336" s="7" t="str">
        <f>'Total Price List'!F340</f>
        <v>Renewal</v>
      </c>
      <c r="G336" s="6" t="str">
        <f>'Total Price List'!G340</f>
        <v>G Data EndpointProtection + MailSecurity + Backup</v>
      </c>
      <c r="H336" s="6" t="str">
        <f>'Total Price List'!H340</f>
        <v>network license renewal 2 years</v>
      </c>
      <c r="I336" s="77">
        <f>'Total Price List'!I340</f>
        <v>31.550400000000003</v>
      </c>
      <c r="J336" s="72">
        <f>'Total Price List'!J340</f>
        <v>31.550400000000003</v>
      </c>
    </row>
    <row r="337" spans="1:11" ht="12" customHeight="1" x14ac:dyDescent="0.25">
      <c r="A337" s="85" t="str">
        <f>'Total Price List'!A341</f>
        <v>G Data</v>
      </c>
      <c r="B337" s="7">
        <f>'Total Price List'!B341</f>
        <v>21076</v>
      </c>
      <c r="C337" s="6"/>
      <c r="D337" s="6" t="str">
        <f>'Total Price List'!D341</f>
        <v>Renewal 2Y GD EP ENT 250+</v>
      </c>
      <c r="E337" s="6" t="str">
        <f>'Total Price List'!E341</f>
        <v>Renewal 249 &lt; x &lt; 500</v>
      </c>
      <c r="F337" s="7" t="str">
        <f>'Total Price List'!F341</f>
        <v>Renewal</v>
      </c>
      <c r="G337" s="6" t="str">
        <f>'Total Price List'!G341</f>
        <v>G Data EndpointProtection + MailSecurity + Backup</v>
      </c>
      <c r="H337" s="6" t="str">
        <f>'Total Price List'!H341</f>
        <v>network license renewal 2 years</v>
      </c>
      <c r="I337" s="77">
        <f>'Total Price List'!I341</f>
        <v>24.716159999999999</v>
      </c>
      <c r="J337" s="72">
        <f>'Total Price List'!J341</f>
        <v>24.716159999999999</v>
      </c>
    </row>
    <row r="338" spans="1:11" ht="12" customHeight="1" x14ac:dyDescent="0.25">
      <c r="A338" s="85" t="str">
        <f>'Total Price List'!A342</f>
        <v>G Data</v>
      </c>
      <c r="B338" s="7">
        <f>'Total Price List'!B342</f>
        <v>21077</v>
      </c>
      <c r="C338" s="6"/>
      <c r="D338" s="6" t="str">
        <f>'Total Price List'!D342</f>
        <v>Renewal 2Y GD EP ENT 500+</v>
      </c>
      <c r="E338" s="6" t="str">
        <f>'Total Price List'!E342</f>
        <v>Renewal 499 &lt; x &lt; 1000</v>
      </c>
      <c r="F338" s="7" t="str">
        <f>'Total Price List'!F342</f>
        <v>Renewal</v>
      </c>
      <c r="G338" s="6" t="str">
        <f>'Total Price List'!G342</f>
        <v>G Data EndpointProtection + MailSecurity + Backup</v>
      </c>
      <c r="H338" s="6" t="str">
        <f>'Total Price List'!H342</f>
        <v>network license renewal 2 years</v>
      </c>
      <c r="I338" s="77">
        <f>'Total Price List'!I342</f>
        <v>21.430080000000004</v>
      </c>
      <c r="J338" s="72">
        <f>'Total Price List'!J342</f>
        <v>21.430080000000004</v>
      </c>
    </row>
    <row r="339" spans="1:11" ht="12" customHeight="1" x14ac:dyDescent="0.25">
      <c r="A339" s="85" t="str">
        <f>'Total Price List'!A343</f>
        <v>G Data</v>
      </c>
      <c r="B339" s="7">
        <f>'Total Price List'!B343</f>
        <v>21078</v>
      </c>
      <c r="C339" s="6"/>
      <c r="D339" s="6" t="str">
        <f>'Total Price List'!D343</f>
        <v>Renewal 2Y GD EP ENT 1000+</v>
      </c>
      <c r="E339" s="6" t="str">
        <f>'Total Price List'!E343</f>
        <v>Renewal 999 &lt; x &lt; 2500</v>
      </c>
      <c r="F339" s="7" t="str">
        <f>'Total Price List'!F343</f>
        <v>Renewal</v>
      </c>
      <c r="G339" s="6" t="str">
        <f>'Total Price List'!G343</f>
        <v>G Data EndpointProtection + MailSecurity + Backup</v>
      </c>
      <c r="H339" s="6" t="str">
        <f>'Total Price List'!H343</f>
        <v>network license renewal 2 years</v>
      </c>
      <c r="I339" s="77">
        <f>'Total Price List'!I343</f>
        <v>16.224</v>
      </c>
      <c r="J339" s="72">
        <f>'Total Price List'!J343</f>
        <v>16.224</v>
      </c>
    </row>
    <row r="340" spans="1:11" ht="12" customHeight="1" x14ac:dyDescent="0.25">
      <c r="A340" s="85" t="str">
        <f>'Total Price List'!A344</f>
        <v>G Data</v>
      </c>
      <c r="B340" s="7">
        <f>'Total Price List'!B344</f>
        <v>21081</v>
      </c>
      <c r="C340" s="6"/>
      <c r="D340" s="6" t="str">
        <f>'Total Price List'!D344</f>
        <v>Renewal 3Y GD EP ENT -9</v>
      </c>
      <c r="E340" s="6" t="str">
        <f>'Total Price List'!E344</f>
        <v>Renewal 4 &lt; x &lt; 10</v>
      </c>
      <c r="F340" s="7" t="str">
        <f>'Total Price List'!F344</f>
        <v>Renewal</v>
      </c>
      <c r="G340" s="6" t="str">
        <f>'Total Price List'!G344</f>
        <v>G Data EndpointProtection + MailSecurity + Backup</v>
      </c>
      <c r="H340" s="6" t="str">
        <f>'Total Price List'!H344</f>
        <v>network license renewal 3 years</v>
      </c>
      <c r="I340" s="77">
        <f>'Total Price List'!I344</f>
        <v>72</v>
      </c>
      <c r="J340" s="72">
        <f>'Total Price List'!J344</f>
        <v>72</v>
      </c>
    </row>
    <row r="341" spans="1:11" ht="12" customHeight="1" x14ac:dyDescent="0.25">
      <c r="A341" s="85" t="str">
        <f>'Total Price List'!A345</f>
        <v>G Data</v>
      </c>
      <c r="B341" s="7">
        <f>'Total Price List'!B345</f>
        <v>21082</v>
      </c>
      <c r="C341" s="6"/>
      <c r="D341" s="6" t="str">
        <f>'Total Price List'!D345</f>
        <v>Renewal 3Y GD EP ENT 10+</v>
      </c>
      <c r="E341" s="6" t="str">
        <f>'Total Price List'!E345</f>
        <v>Renewal 9 &lt; x &lt; 25</v>
      </c>
      <c r="F341" s="7" t="str">
        <f>'Total Price List'!F345</f>
        <v>Renewal</v>
      </c>
      <c r="G341" s="6" t="str">
        <f>'Total Price List'!G345</f>
        <v>G Data EndpointProtection + MailSecurity + Backup</v>
      </c>
      <c r="H341" s="6" t="str">
        <f>'Total Price List'!H345</f>
        <v>network license renewal 3 years</v>
      </c>
      <c r="I341" s="77">
        <f>'Total Price List'!I345</f>
        <v>70.56</v>
      </c>
      <c r="J341" s="72">
        <f>'Total Price List'!J345</f>
        <v>70.56</v>
      </c>
    </row>
    <row r="342" spans="1:11" ht="12" customHeight="1" x14ac:dyDescent="0.25">
      <c r="A342" s="85" t="str">
        <f>'Total Price List'!A346</f>
        <v>G Data</v>
      </c>
      <c r="B342" s="7">
        <f>'Total Price List'!B346</f>
        <v>21083</v>
      </c>
      <c r="C342" s="6"/>
      <c r="D342" s="6" t="str">
        <f>'Total Price List'!D346</f>
        <v>Renewal 3Y GD EP ENT 25+</v>
      </c>
      <c r="E342" s="6" t="str">
        <f>'Total Price List'!E346</f>
        <v>Renewal 24 &lt; x &lt; 50</v>
      </c>
      <c r="F342" s="7" t="str">
        <f>'Total Price List'!F346</f>
        <v>Renewal</v>
      </c>
      <c r="G342" s="6" t="str">
        <f>'Total Price List'!G346</f>
        <v>G Data EndpointProtection + MailSecurity + Backup</v>
      </c>
      <c r="H342" s="6" t="str">
        <f>'Total Price List'!H346</f>
        <v>network license renewal 3 years</v>
      </c>
      <c r="I342" s="77">
        <f>'Total Price List'!I346</f>
        <v>59.328000000000003</v>
      </c>
      <c r="J342" s="72">
        <f>'Total Price List'!J346</f>
        <v>59.328000000000003</v>
      </c>
    </row>
    <row r="343" spans="1:11" ht="12" customHeight="1" x14ac:dyDescent="0.25">
      <c r="A343" s="85" t="str">
        <f>'Total Price List'!A347</f>
        <v>G Data</v>
      </c>
      <c r="B343" s="7">
        <f>'Total Price List'!B347</f>
        <v>21084</v>
      </c>
      <c r="C343" s="6"/>
      <c r="D343" s="6" t="str">
        <f>'Total Price List'!D347</f>
        <v>Renewal 3Y GD EP ENT 50+</v>
      </c>
      <c r="E343" s="6" t="str">
        <f>'Total Price List'!E347</f>
        <v>Renewal 49 &lt; x &lt; 100</v>
      </c>
      <c r="F343" s="7" t="str">
        <f>'Total Price List'!F347</f>
        <v>Renewal</v>
      </c>
      <c r="G343" s="6" t="str">
        <f>'Total Price List'!G347</f>
        <v>G Data EndpointProtection + MailSecurity + Backup</v>
      </c>
      <c r="H343" s="6" t="str">
        <f>'Total Price List'!H347</f>
        <v>network license renewal 3 years</v>
      </c>
      <c r="I343" s="77">
        <f>'Total Price List'!I347</f>
        <v>55.583999999999996</v>
      </c>
      <c r="J343" s="72">
        <f>'Total Price List'!J347</f>
        <v>55.583999999999996</v>
      </c>
    </row>
    <row r="344" spans="1:11" ht="12" customHeight="1" x14ac:dyDescent="0.25">
      <c r="A344" s="85" t="str">
        <f>'Total Price List'!A348</f>
        <v>G Data</v>
      </c>
      <c r="B344" s="7">
        <f>'Total Price List'!B348</f>
        <v>21085</v>
      </c>
      <c r="C344" s="6"/>
      <c r="D344" s="6" t="str">
        <f>'Total Price List'!D348</f>
        <v>Renewal 3Y GD EP ENT 100+</v>
      </c>
      <c r="E344" s="6" t="str">
        <f>'Total Price List'!E348</f>
        <v>Renewal 99 &lt; x &lt; 250</v>
      </c>
      <c r="F344" s="7" t="str">
        <f>'Total Price List'!F348</f>
        <v>Renewal</v>
      </c>
      <c r="G344" s="6" t="str">
        <f>'Total Price List'!G348</f>
        <v>G Data EndpointProtection + MailSecurity + Backup</v>
      </c>
      <c r="H344" s="6" t="str">
        <f>'Total Price List'!H348</f>
        <v>network license renewal 3 years</v>
      </c>
      <c r="I344" s="77">
        <f>'Total Price List'!I348</f>
        <v>45.072000000000003</v>
      </c>
      <c r="J344" s="72">
        <f>'Total Price List'!J348</f>
        <v>45.072000000000003</v>
      </c>
    </row>
    <row r="345" spans="1:11" ht="12" customHeight="1" x14ac:dyDescent="0.25">
      <c r="A345" s="85" t="str">
        <f>'Total Price List'!A349</f>
        <v>G Data</v>
      </c>
      <c r="B345" s="7">
        <f>'Total Price List'!B349</f>
        <v>21086</v>
      </c>
      <c r="C345" s="6"/>
      <c r="D345" s="6" t="str">
        <f>'Total Price List'!D349</f>
        <v>Renewal 3Y GD EP ENT 250+</v>
      </c>
      <c r="E345" s="6" t="str">
        <f>'Total Price List'!E349</f>
        <v>Renewal 249 &lt; x &lt; 500</v>
      </c>
      <c r="F345" s="7" t="str">
        <f>'Total Price List'!F349</f>
        <v>Renewal</v>
      </c>
      <c r="G345" s="6" t="str">
        <f>'Total Price List'!G349</f>
        <v>G Data EndpointProtection + MailSecurity + Backup</v>
      </c>
      <c r="H345" s="6" t="str">
        <f>'Total Price List'!H349</f>
        <v>network license renewal 3 years</v>
      </c>
      <c r="I345" s="77">
        <f>'Total Price List'!I349</f>
        <v>35.308800000000005</v>
      </c>
      <c r="J345" s="72">
        <f>'Total Price List'!J349</f>
        <v>35.308800000000005</v>
      </c>
    </row>
    <row r="346" spans="1:11" ht="12" customHeight="1" x14ac:dyDescent="0.25">
      <c r="A346" s="85" t="str">
        <f>'Total Price List'!A350</f>
        <v>G Data</v>
      </c>
      <c r="B346" s="7">
        <f>'Total Price List'!B350</f>
        <v>21087</v>
      </c>
      <c r="C346" s="6"/>
      <c r="D346" s="6" t="str">
        <f>'Total Price List'!D350</f>
        <v>Renewal 3Y GD EP ENT 500+</v>
      </c>
      <c r="E346" s="6" t="str">
        <f>'Total Price List'!E350</f>
        <v>Renewal 499 &lt; x &lt; 1000</v>
      </c>
      <c r="F346" s="7" t="str">
        <f>'Total Price List'!F350</f>
        <v>Renewal</v>
      </c>
      <c r="G346" s="6" t="str">
        <f>'Total Price List'!G350</f>
        <v>G Data EndpointProtection + MailSecurity + Backup</v>
      </c>
      <c r="H346" s="6" t="str">
        <f>'Total Price List'!H350</f>
        <v>network license renewal 3 years</v>
      </c>
      <c r="I346" s="77">
        <f>'Total Price List'!I350</f>
        <v>30.614400000000003</v>
      </c>
      <c r="J346" s="72">
        <f>'Total Price List'!J350</f>
        <v>30.614400000000003</v>
      </c>
    </row>
    <row r="347" spans="1:11" ht="12" customHeight="1" thickBot="1" x14ac:dyDescent="0.3">
      <c r="A347" s="86" t="str">
        <f>'Total Price List'!A351</f>
        <v>G Data</v>
      </c>
      <c r="B347" s="20">
        <f>'Total Price List'!B351</f>
        <v>21088</v>
      </c>
      <c r="C347" s="21"/>
      <c r="D347" s="21" t="str">
        <f>'Total Price List'!D351</f>
        <v>Renewal 3Y GD EP ENT 1000+</v>
      </c>
      <c r="E347" s="21" t="str">
        <f>'Total Price List'!E351</f>
        <v>Renewal 999 &lt; x &lt; 2500</v>
      </c>
      <c r="F347" s="20" t="str">
        <f>'Total Price List'!F351</f>
        <v>Renewal</v>
      </c>
      <c r="G347" s="21" t="str">
        <f>'Total Price List'!G351</f>
        <v>G Data EndpointProtection + MailSecurity + Backup</v>
      </c>
      <c r="H347" s="21" t="str">
        <f>'Total Price List'!H351</f>
        <v>network license renewal 3 years</v>
      </c>
      <c r="I347" s="78">
        <f>'Total Price List'!I351</f>
        <v>21.840000000000003</v>
      </c>
      <c r="J347" s="73">
        <f>'Total Price List'!J351</f>
        <v>21.840000000000003</v>
      </c>
    </row>
    <row r="348" spans="1:11" ht="12" customHeight="1" x14ac:dyDescent="0.25">
      <c r="A348" s="116" t="str">
        <f>'Total Price List'!A727</f>
        <v>G Data PatchManagement Modul</v>
      </c>
      <c r="B348" s="117"/>
      <c r="C348" s="117"/>
      <c r="D348" s="117"/>
      <c r="E348" s="117"/>
      <c r="F348" s="117"/>
      <c r="G348" s="117"/>
      <c r="H348" s="117"/>
      <c r="I348" s="117"/>
      <c r="J348" s="118"/>
      <c r="K348" s="294"/>
    </row>
    <row r="349" spans="1:11" s="293" customFormat="1" ht="12" customHeight="1" x14ac:dyDescent="0.25">
      <c r="A349" s="506" t="str">
        <f>'Total Price List'!A728</f>
        <v>G Data</v>
      </c>
      <c r="B349" s="488">
        <f>'Total Price List'!B728</f>
        <v>22111</v>
      </c>
      <c r="C349" s="487"/>
      <c r="D349" s="487" t="str">
        <f>'Total Price List'!D728</f>
        <v>License 1Y GD PM -9</v>
      </c>
      <c r="E349" s="487" t="str">
        <f>'Total Price List'!E728</f>
        <v>License 4 &lt; x &lt; 10</v>
      </c>
      <c r="F349" s="488" t="str">
        <f>'Total Price List'!F728</f>
        <v>License</v>
      </c>
      <c r="G349" s="487" t="str">
        <f>'Total Price List'!G728</f>
        <v>G Data PatchMangement</v>
      </c>
      <c r="H349" s="487" t="str">
        <f>'Total Price List'!H728</f>
        <v>network license 1 year</v>
      </c>
      <c r="I349" s="501">
        <f>'Total Price List'!I728</f>
        <v>37.5</v>
      </c>
      <c r="J349" s="502">
        <f>'Total Price List'!J728</f>
        <v>37.5</v>
      </c>
      <c r="K349" s="294"/>
    </row>
    <row r="350" spans="1:11" s="293" customFormat="1" ht="12" customHeight="1" x14ac:dyDescent="0.25">
      <c r="A350" s="506" t="str">
        <f>'Total Price List'!A729</f>
        <v>G Data</v>
      </c>
      <c r="B350" s="488">
        <f>'Total Price List'!B729</f>
        <v>22112</v>
      </c>
      <c r="C350" s="487"/>
      <c r="D350" s="487" t="str">
        <f>'Total Price List'!D729</f>
        <v>License 1Y GD PM 10+</v>
      </c>
      <c r="E350" s="487" t="str">
        <f>'Total Price List'!E729</f>
        <v>License 9 &lt; x &lt; 25</v>
      </c>
      <c r="F350" s="488" t="str">
        <f>'Total Price List'!F729</f>
        <v>License</v>
      </c>
      <c r="G350" s="487" t="str">
        <f>'Total Price List'!G729</f>
        <v>G Data PatchMangement</v>
      </c>
      <c r="H350" s="487" t="str">
        <f>'Total Price List'!H729</f>
        <v>network license 1 year</v>
      </c>
      <c r="I350" s="501">
        <f>'Total Price List'!I729</f>
        <v>31.5</v>
      </c>
      <c r="J350" s="502">
        <f>'Total Price List'!J729</f>
        <v>31.5</v>
      </c>
      <c r="K350" s="294"/>
    </row>
    <row r="351" spans="1:11" s="293" customFormat="1" ht="12" customHeight="1" x14ac:dyDescent="0.25">
      <c r="A351" s="506" t="str">
        <f>'Total Price List'!A730</f>
        <v>G Data</v>
      </c>
      <c r="B351" s="488">
        <f>'Total Price List'!B730</f>
        <v>22113</v>
      </c>
      <c r="C351" s="487"/>
      <c r="D351" s="487" t="str">
        <f>'Total Price List'!D730</f>
        <v>License 1Y GD PM 25+</v>
      </c>
      <c r="E351" s="487" t="str">
        <f>'Total Price List'!E730</f>
        <v>License 24 &lt; x &lt; 50</v>
      </c>
      <c r="F351" s="488" t="str">
        <f>'Total Price List'!F730</f>
        <v>License</v>
      </c>
      <c r="G351" s="487" t="str">
        <f>'Total Price List'!G730</f>
        <v>G Data PatchMangement</v>
      </c>
      <c r="H351" s="487" t="str">
        <f>'Total Price List'!H730</f>
        <v>network license 1 year</v>
      </c>
      <c r="I351" s="501">
        <f>'Total Price List'!I730</f>
        <v>25.125</v>
      </c>
      <c r="J351" s="502">
        <f>'Total Price List'!J730</f>
        <v>25.125</v>
      </c>
      <c r="K351" s="294"/>
    </row>
    <row r="352" spans="1:11" s="293" customFormat="1" ht="12" customHeight="1" x14ac:dyDescent="0.25">
      <c r="A352" s="506" t="str">
        <f>'Total Price List'!A731</f>
        <v>G Data</v>
      </c>
      <c r="B352" s="488">
        <f>'Total Price List'!B731</f>
        <v>22114</v>
      </c>
      <c r="C352" s="487"/>
      <c r="D352" s="487" t="str">
        <f>'Total Price List'!D731</f>
        <v>License 1Y GD PM 50+</v>
      </c>
      <c r="E352" s="487" t="str">
        <f>'Total Price List'!E731</f>
        <v>License 49 &lt; x &lt; 100</v>
      </c>
      <c r="F352" s="488" t="str">
        <f>'Total Price List'!F731</f>
        <v>License</v>
      </c>
      <c r="G352" s="487" t="str">
        <f>'Total Price List'!G731</f>
        <v>G Data PatchMangement</v>
      </c>
      <c r="H352" s="487" t="str">
        <f>'Total Price List'!H731</f>
        <v>network license 1 year</v>
      </c>
      <c r="I352" s="501">
        <f>'Total Price List'!I731</f>
        <v>19.5</v>
      </c>
      <c r="J352" s="502">
        <f>'Total Price List'!J731</f>
        <v>19.5</v>
      </c>
      <c r="K352" s="294"/>
    </row>
    <row r="353" spans="1:11" s="293" customFormat="1" ht="12" customHeight="1" x14ac:dyDescent="0.25">
      <c r="A353" s="506" t="str">
        <f>'Total Price List'!A732</f>
        <v>G Data</v>
      </c>
      <c r="B353" s="488">
        <f>'Total Price List'!B732</f>
        <v>22115</v>
      </c>
      <c r="C353" s="487"/>
      <c r="D353" s="487" t="str">
        <f>'Total Price List'!D732</f>
        <v>License 1Y GD PM 100+</v>
      </c>
      <c r="E353" s="487" t="str">
        <f>'Total Price List'!E732</f>
        <v>License 99 &lt; x &lt; 250</v>
      </c>
      <c r="F353" s="488" t="str">
        <f>'Total Price List'!F732</f>
        <v>License</v>
      </c>
      <c r="G353" s="487" t="str">
        <f>'Total Price List'!G732</f>
        <v>G Data PatchMangement</v>
      </c>
      <c r="H353" s="487" t="str">
        <f>'Total Price List'!H732</f>
        <v>network license 1 year</v>
      </c>
      <c r="I353" s="501">
        <f>'Total Price List'!I732</f>
        <v>17.25</v>
      </c>
      <c r="J353" s="502">
        <f>'Total Price List'!J732</f>
        <v>17.25</v>
      </c>
      <c r="K353" s="294"/>
    </row>
    <row r="354" spans="1:11" s="293" customFormat="1" ht="12" customHeight="1" x14ac:dyDescent="0.25">
      <c r="A354" s="506" t="str">
        <f>'Total Price List'!A733</f>
        <v>G Data</v>
      </c>
      <c r="B354" s="488">
        <f>'Total Price List'!B733</f>
        <v>22116</v>
      </c>
      <c r="C354" s="487"/>
      <c r="D354" s="487" t="str">
        <f>'Total Price List'!D733</f>
        <v>License 1Y GD PM 250+</v>
      </c>
      <c r="E354" s="487" t="str">
        <f>'Total Price List'!E733</f>
        <v>License 249 &lt; x &lt; 500</v>
      </c>
      <c r="F354" s="488" t="str">
        <f>'Total Price List'!F733</f>
        <v>License</v>
      </c>
      <c r="G354" s="487" t="str">
        <f>'Total Price List'!G733</f>
        <v>G Data PatchMangement</v>
      </c>
      <c r="H354" s="487" t="str">
        <f>'Total Price List'!H733</f>
        <v>network license 1 year</v>
      </c>
      <c r="I354" s="501">
        <f>'Total Price List'!I733</f>
        <v>15</v>
      </c>
      <c r="J354" s="502">
        <f>'Total Price List'!J733</f>
        <v>15</v>
      </c>
      <c r="K354" s="294"/>
    </row>
    <row r="355" spans="1:11" s="293" customFormat="1" ht="12" customHeight="1" x14ac:dyDescent="0.25">
      <c r="A355" s="506" t="str">
        <f>'Total Price List'!A734</f>
        <v>G Data</v>
      </c>
      <c r="B355" s="488">
        <f>'Total Price List'!B734</f>
        <v>22117</v>
      </c>
      <c r="C355" s="487"/>
      <c r="D355" s="487" t="str">
        <f>'Total Price List'!D734</f>
        <v>License 1Y GD PM 500+</v>
      </c>
      <c r="E355" s="487" t="str">
        <f>'Total Price List'!E734</f>
        <v>License 499 &lt; x &lt; 1000</v>
      </c>
      <c r="F355" s="488" t="str">
        <f>'Total Price List'!F734</f>
        <v>License</v>
      </c>
      <c r="G355" s="487" t="str">
        <f>'Total Price List'!G734</f>
        <v>G Data PatchMangement</v>
      </c>
      <c r="H355" s="487" t="str">
        <f>'Total Price List'!H734</f>
        <v>network license 1 year</v>
      </c>
      <c r="I355" s="501">
        <f>'Total Price List'!I734</f>
        <v>13.5</v>
      </c>
      <c r="J355" s="502">
        <f>'Total Price List'!J734</f>
        <v>13.5</v>
      </c>
      <c r="K355" s="294"/>
    </row>
    <row r="356" spans="1:11" s="293" customFormat="1" ht="12" customHeight="1" x14ac:dyDescent="0.25">
      <c r="A356" s="506" t="str">
        <f>'Total Price List'!A735</f>
        <v>G Data</v>
      </c>
      <c r="B356" s="488">
        <f>'Total Price List'!B735</f>
        <v>22118</v>
      </c>
      <c r="C356" s="487"/>
      <c r="D356" s="487" t="str">
        <f>'Total Price List'!D735</f>
        <v>License 1Y GD PM 1000+</v>
      </c>
      <c r="E356" s="487" t="str">
        <f>'Total Price List'!E735</f>
        <v>License 999 &lt; x &lt; 2500</v>
      </c>
      <c r="F356" s="488" t="str">
        <f>'Total Price List'!F735</f>
        <v>License</v>
      </c>
      <c r="G356" s="487" t="str">
        <f>'Total Price List'!G735</f>
        <v>G Data PatchMangement</v>
      </c>
      <c r="H356" s="487" t="str">
        <f>'Total Price List'!H735</f>
        <v>network license 1 year</v>
      </c>
      <c r="I356" s="501">
        <f>'Total Price List'!I735</f>
        <v>12</v>
      </c>
      <c r="J356" s="502">
        <f>'Total Price List'!J735</f>
        <v>12</v>
      </c>
      <c r="K356" s="294"/>
    </row>
    <row r="357" spans="1:11" s="293" customFormat="1" ht="12" customHeight="1" x14ac:dyDescent="0.25">
      <c r="A357" s="506" t="str">
        <f>'Total Price List'!A736</f>
        <v>G Data</v>
      </c>
      <c r="B357" s="488">
        <f>'Total Price List'!B736</f>
        <v>22121</v>
      </c>
      <c r="C357" s="487"/>
      <c r="D357" s="487" t="str">
        <f>'Total Price List'!D736</f>
        <v>License 2Y GD PM -9</v>
      </c>
      <c r="E357" s="487" t="str">
        <f>'Total Price List'!E736</f>
        <v>License 4&lt; x &lt;10</v>
      </c>
      <c r="F357" s="488" t="str">
        <f>'Total Price List'!F736</f>
        <v>License</v>
      </c>
      <c r="G357" s="487" t="str">
        <f>'Total Price List'!G736</f>
        <v>G Data PatchMangement</v>
      </c>
      <c r="H357" s="487" t="str">
        <f>'Total Price List'!H736</f>
        <v>network license 2 years</v>
      </c>
      <c r="I357" s="501">
        <f>'Total Price List'!I736</f>
        <v>75</v>
      </c>
      <c r="J357" s="502">
        <f>'Total Price List'!J736</f>
        <v>75</v>
      </c>
      <c r="K357" s="294"/>
    </row>
    <row r="358" spans="1:11" ht="12" customHeight="1" x14ac:dyDescent="0.25">
      <c r="A358" s="506" t="str">
        <f>'Total Price List'!A737</f>
        <v>G Data</v>
      </c>
      <c r="B358" s="488">
        <f>'Total Price List'!B737</f>
        <v>22122</v>
      </c>
      <c r="C358" s="487"/>
      <c r="D358" s="487" t="str">
        <f>'Total Price List'!D737</f>
        <v>License 2Y GD PM 10+</v>
      </c>
      <c r="E358" s="487" t="str">
        <f>'Total Price List'!E737</f>
        <v>License 9&lt; x &lt;25</v>
      </c>
      <c r="F358" s="488" t="str">
        <f>'Total Price List'!F737</f>
        <v>License</v>
      </c>
      <c r="G358" s="487" t="str">
        <f>'Total Price List'!G737</f>
        <v>G Data PatchMangement</v>
      </c>
      <c r="H358" s="487" t="str">
        <f>'Total Price List'!H737</f>
        <v>network license 2 years</v>
      </c>
      <c r="I358" s="501">
        <f>'Total Price List'!I737</f>
        <v>63</v>
      </c>
      <c r="J358" s="502">
        <f>'Total Price List'!J737</f>
        <v>63</v>
      </c>
      <c r="K358" s="294"/>
    </row>
    <row r="359" spans="1:11" ht="12" customHeight="1" x14ac:dyDescent="0.25">
      <c r="A359" s="506" t="str">
        <f>'Total Price List'!A738</f>
        <v>G Data</v>
      </c>
      <c r="B359" s="488">
        <f>'Total Price List'!B738</f>
        <v>22123</v>
      </c>
      <c r="C359" s="487"/>
      <c r="D359" s="487" t="str">
        <f>'Total Price List'!D738</f>
        <v>License 2Y GD PM 25+</v>
      </c>
      <c r="E359" s="487" t="str">
        <f>'Total Price List'!E738</f>
        <v>License 24&lt; x &lt;50</v>
      </c>
      <c r="F359" s="488" t="str">
        <f>'Total Price List'!F738</f>
        <v>License</v>
      </c>
      <c r="G359" s="487" t="str">
        <f>'Total Price List'!G738</f>
        <v>G Data PatchMangement</v>
      </c>
      <c r="H359" s="487" t="str">
        <f>'Total Price List'!H738</f>
        <v>network license 2 years</v>
      </c>
      <c r="I359" s="501">
        <f>'Total Price List'!I738</f>
        <v>50.25</v>
      </c>
      <c r="J359" s="502">
        <f>'Total Price List'!J738</f>
        <v>50.25</v>
      </c>
      <c r="K359" s="294"/>
    </row>
    <row r="360" spans="1:11" ht="12" customHeight="1" x14ac:dyDescent="0.25">
      <c r="A360" s="506" t="str">
        <f>'Total Price List'!A739</f>
        <v>G Data</v>
      </c>
      <c r="B360" s="488">
        <f>'Total Price List'!B739</f>
        <v>22124</v>
      </c>
      <c r="C360" s="487"/>
      <c r="D360" s="487" t="str">
        <f>'Total Price List'!D739</f>
        <v>License 2Y GD PM 50+</v>
      </c>
      <c r="E360" s="487" t="str">
        <f>'Total Price List'!E739</f>
        <v>License 49&lt; x &lt;100</v>
      </c>
      <c r="F360" s="488" t="str">
        <f>'Total Price List'!F739</f>
        <v>License</v>
      </c>
      <c r="G360" s="487" t="str">
        <f>'Total Price List'!G739</f>
        <v>G Data PatchMangement</v>
      </c>
      <c r="H360" s="487" t="str">
        <f>'Total Price List'!H739</f>
        <v>network license 2 years</v>
      </c>
      <c r="I360" s="501">
        <f>'Total Price List'!I739</f>
        <v>39</v>
      </c>
      <c r="J360" s="502">
        <f>'Total Price List'!J739</f>
        <v>39</v>
      </c>
      <c r="K360" s="294"/>
    </row>
    <row r="361" spans="1:11" ht="12" customHeight="1" x14ac:dyDescent="0.25">
      <c r="A361" s="506" t="str">
        <f>'Total Price List'!A740</f>
        <v>G Data</v>
      </c>
      <c r="B361" s="488">
        <f>'Total Price List'!B740</f>
        <v>22125</v>
      </c>
      <c r="C361" s="487"/>
      <c r="D361" s="487" t="str">
        <f>'Total Price List'!D740</f>
        <v>License 2Y GD PM 100+</v>
      </c>
      <c r="E361" s="487" t="str">
        <f>'Total Price List'!E740</f>
        <v>License 99&lt; x &lt;250</v>
      </c>
      <c r="F361" s="488" t="str">
        <f>'Total Price List'!F740</f>
        <v>License</v>
      </c>
      <c r="G361" s="487" t="str">
        <f>'Total Price List'!G740</f>
        <v>G Data PatchMangement</v>
      </c>
      <c r="H361" s="487" t="str">
        <f>'Total Price List'!H740</f>
        <v>network license 2 years</v>
      </c>
      <c r="I361" s="501">
        <f>'Total Price List'!I740</f>
        <v>34.5</v>
      </c>
      <c r="J361" s="502">
        <f>'Total Price List'!J740</f>
        <v>34.5</v>
      </c>
      <c r="K361" s="294"/>
    </row>
    <row r="362" spans="1:11" ht="12" customHeight="1" x14ac:dyDescent="0.25">
      <c r="A362" s="506" t="str">
        <f>'Total Price List'!A741</f>
        <v>G Data</v>
      </c>
      <c r="B362" s="488">
        <f>'Total Price List'!B741</f>
        <v>22126</v>
      </c>
      <c r="C362" s="487"/>
      <c r="D362" s="487" t="str">
        <f>'Total Price List'!D741</f>
        <v>License 2Y GD PM 250+</v>
      </c>
      <c r="E362" s="487" t="str">
        <f>'Total Price List'!E741</f>
        <v>License 249&lt; x &lt;500</v>
      </c>
      <c r="F362" s="488" t="str">
        <f>'Total Price List'!F741</f>
        <v>License</v>
      </c>
      <c r="G362" s="487" t="str">
        <f>'Total Price List'!G741</f>
        <v>G Data PatchMangement</v>
      </c>
      <c r="H362" s="487" t="str">
        <f>'Total Price List'!H741</f>
        <v>network license 2 years</v>
      </c>
      <c r="I362" s="501">
        <f>'Total Price List'!I741</f>
        <v>30</v>
      </c>
      <c r="J362" s="502">
        <f>'Total Price List'!J741</f>
        <v>30</v>
      </c>
      <c r="K362" s="294"/>
    </row>
    <row r="363" spans="1:11" ht="12" customHeight="1" x14ac:dyDescent="0.25">
      <c r="A363" s="506" t="str">
        <f>'Total Price List'!A742</f>
        <v>G Data</v>
      </c>
      <c r="B363" s="488">
        <f>'Total Price List'!B742</f>
        <v>22127</v>
      </c>
      <c r="C363" s="487"/>
      <c r="D363" s="487" t="str">
        <f>'Total Price List'!D742</f>
        <v>License 2Y GD PM 500+</v>
      </c>
      <c r="E363" s="487" t="str">
        <f>'Total Price List'!E742</f>
        <v>License 499&lt; x &lt;1000</v>
      </c>
      <c r="F363" s="488" t="str">
        <f>'Total Price List'!F742</f>
        <v>License</v>
      </c>
      <c r="G363" s="487" t="str">
        <f>'Total Price List'!G742</f>
        <v>G Data PatchMangement</v>
      </c>
      <c r="H363" s="487" t="str">
        <f>'Total Price List'!H742</f>
        <v>network license 2 years</v>
      </c>
      <c r="I363" s="501">
        <f>'Total Price List'!I742</f>
        <v>27</v>
      </c>
      <c r="J363" s="502">
        <f>'Total Price List'!J742</f>
        <v>27</v>
      </c>
      <c r="K363" s="294"/>
    </row>
    <row r="364" spans="1:11" ht="12" customHeight="1" x14ac:dyDescent="0.25">
      <c r="A364" s="506" t="str">
        <f>'Total Price List'!A743</f>
        <v>G Data</v>
      </c>
      <c r="B364" s="488">
        <f>'Total Price List'!B743</f>
        <v>22128</v>
      </c>
      <c r="C364" s="487"/>
      <c r="D364" s="487" t="str">
        <f>'Total Price List'!D743</f>
        <v>License 2Y GD PM 1000+</v>
      </c>
      <c r="E364" s="487" t="str">
        <f>'Total Price List'!E743</f>
        <v>License 999 &lt; x &lt; 2500</v>
      </c>
      <c r="F364" s="488" t="str">
        <f>'Total Price List'!F743</f>
        <v>License</v>
      </c>
      <c r="G364" s="487" t="str">
        <f>'Total Price List'!G743</f>
        <v>G Data PatchMangement</v>
      </c>
      <c r="H364" s="487" t="str">
        <f>'Total Price List'!H743</f>
        <v>network license 2 years</v>
      </c>
      <c r="I364" s="501">
        <f>'Total Price List'!I743</f>
        <v>24</v>
      </c>
      <c r="J364" s="502">
        <f>'Total Price List'!J743</f>
        <v>24</v>
      </c>
      <c r="K364" s="294"/>
    </row>
    <row r="365" spans="1:11" ht="12" customHeight="1" x14ac:dyDescent="0.25">
      <c r="A365" s="506" t="str">
        <f>'Total Price List'!A744</f>
        <v>G Data</v>
      </c>
      <c r="B365" s="488">
        <f>'Total Price List'!B744</f>
        <v>22131</v>
      </c>
      <c r="C365" s="487"/>
      <c r="D365" s="487" t="str">
        <f>'Total Price List'!D744</f>
        <v>License 3Y GD PM -9</v>
      </c>
      <c r="E365" s="487" t="str">
        <f>'Total Price List'!E744</f>
        <v>License 4&lt; x &lt;10</v>
      </c>
      <c r="F365" s="488" t="str">
        <f>'Total Price List'!F744</f>
        <v>License</v>
      </c>
      <c r="G365" s="487" t="str">
        <f>'Total Price List'!G744</f>
        <v>G Data PatchMangement</v>
      </c>
      <c r="H365" s="487" t="str">
        <f>'Total Price List'!H744</f>
        <v>network license 3 years</v>
      </c>
      <c r="I365" s="501">
        <f>'Total Price List'!I744</f>
        <v>112.5</v>
      </c>
      <c r="J365" s="502">
        <f>'Total Price List'!J744</f>
        <v>112.5</v>
      </c>
      <c r="K365" s="294"/>
    </row>
    <row r="366" spans="1:11" ht="12" customHeight="1" x14ac:dyDescent="0.25">
      <c r="A366" s="506" t="str">
        <f>'Total Price List'!A745</f>
        <v>G Data</v>
      </c>
      <c r="B366" s="488">
        <f>'Total Price List'!B745</f>
        <v>22132</v>
      </c>
      <c r="C366" s="487"/>
      <c r="D366" s="487" t="str">
        <f>'Total Price List'!D745</f>
        <v>License 3Y GD PM 10+</v>
      </c>
      <c r="E366" s="487" t="str">
        <f>'Total Price List'!E745</f>
        <v>License 9&lt; x &lt;25</v>
      </c>
      <c r="F366" s="488" t="str">
        <f>'Total Price List'!F745</f>
        <v>License</v>
      </c>
      <c r="G366" s="487" t="str">
        <f>'Total Price List'!G745</f>
        <v>G Data PatchMangement</v>
      </c>
      <c r="H366" s="487" t="str">
        <f>'Total Price List'!H745</f>
        <v>network license 3 years</v>
      </c>
      <c r="I366" s="501">
        <f>'Total Price List'!I745</f>
        <v>94.5</v>
      </c>
      <c r="J366" s="502">
        <f>'Total Price List'!J745</f>
        <v>94.5</v>
      </c>
      <c r="K366" s="294"/>
    </row>
    <row r="367" spans="1:11" ht="12" customHeight="1" x14ac:dyDescent="0.25">
      <c r="A367" s="506" t="str">
        <f>'Total Price List'!A746</f>
        <v>G Data</v>
      </c>
      <c r="B367" s="488">
        <f>'Total Price List'!B746</f>
        <v>22133</v>
      </c>
      <c r="C367" s="487"/>
      <c r="D367" s="487" t="str">
        <f>'Total Price List'!D746</f>
        <v>License 3Y GD PM 25+</v>
      </c>
      <c r="E367" s="487" t="str">
        <f>'Total Price List'!E746</f>
        <v>License 24&lt; x &lt;50</v>
      </c>
      <c r="F367" s="488" t="str">
        <f>'Total Price List'!F746</f>
        <v>License</v>
      </c>
      <c r="G367" s="487" t="str">
        <f>'Total Price List'!G746</f>
        <v>G Data PatchMangement</v>
      </c>
      <c r="H367" s="487" t="str">
        <f>'Total Price List'!H746</f>
        <v>network license 3 years</v>
      </c>
      <c r="I367" s="501">
        <f>'Total Price List'!I746</f>
        <v>75.375</v>
      </c>
      <c r="J367" s="502">
        <f>'Total Price List'!J746</f>
        <v>75.375</v>
      </c>
      <c r="K367" s="294"/>
    </row>
    <row r="368" spans="1:11" s="495" customFormat="1" ht="12" customHeight="1" x14ac:dyDescent="0.25">
      <c r="A368" s="506" t="str">
        <f>'Total Price List'!A747</f>
        <v>G Data</v>
      </c>
      <c r="B368" s="488">
        <f>'Total Price List'!B747</f>
        <v>22134</v>
      </c>
      <c r="C368" s="487"/>
      <c r="D368" s="487" t="str">
        <f>'Total Price List'!D747</f>
        <v>License 3Y GD PM 50+</v>
      </c>
      <c r="E368" s="487" t="str">
        <f>'Total Price List'!E747</f>
        <v>License 49&lt; x &lt;100</v>
      </c>
      <c r="F368" s="488" t="str">
        <f>'Total Price List'!F747</f>
        <v>License</v>
      </c>
      <c r="G368" s="487" t="str">
        <f>'Total Price List'!G747</f>
        <v>G Data PatchMangement</v>
      </c>
      <c r="H368" s="487" t="str">
        <f>'Total Price List'!H747</f>
        <v>network license 3 years</v>
      </c>
      <c r="I368" s="501">
        <f>'Total Price List'!I747</f>
        <v>58.5</v>
      </c>
      <c r="J368" s="502">
        <f>'Total Price List'!J747</f>
        <v>58.5</v>
      </c>
      <c r="K368" s="518"/>
    </row>
    <row r="369" spans="1:11" s="495" customFormat="1" ht="12" customHeight="1" x14ac:dyDescent="0.25">
      <c r="A369" s="506" t="str">
        <f>'Total Price List'!A748</f>
        <v>G Data</v>
      </c>
      <c r="B369" s="488">
        <f>'Total Price List'!B748</f>
        <v>22135</v>
      </c>
      <c r="C369" s="487"/>
      <c r="D369" s="487" t="str">
        <f>'Total Price List'!D748</f>
        <v>License 3Y GD PM 100+</v>
      </c>
      <c r="E369" s="487" t="str">
        <f>'Total Price List'!E748</f>
        <v>License 99&lt; x &lt;250</v>
      </c>
      <c r="F369" s="488" t="str">
        <f>'Total Price List'!F748</f>
        <v>License</v>
      </c>
      <c r="G369" s="487" t="str">
        <f>'Total Price List'!G748</f>
        <v>G Data PatchMangement</v>
      </c>
      <c r="H369" s="487" t="str">
        <f>'Total Price List'!H748</f>
        <v>network license 3 years</v>
      </c>
      <c r="I369" s="501">
        <f>'Total Price List'!I748</f>
        <v>51.75</v>
      </c>
      <c r="J369" s="502">
        <f>'Total Price List'!J748</f>
        <v>51.75</v>
      </c>
      <c r="K369" s="518"/>
    </row>
    <row r="370" spans="1:11" s="495" customFormat="1" ht="12" customHeight="1" x14ac:dyDescent="0.25">
      <c r="A370" s="506" t="str">
        <f>'Total Price List'!A749</f>
        <v>G Data</v>
      </c>
      <c r="B370" s="488">
        <f>'Total Price List'!B749</f>
        <v>22136</v>
      </c>
      <c r="C370" s="487"/>
      <c r="D370" s="487" t="str">
        <f>'Total Price List'!D749</f>
        <v>License 3Y GD PM 250+</v>
      </c>
      <c r="E370" s="487" t="str">
        <f>'Total Price List'!E749</f>
        <v>License 249&lt; x &lt;500</v>
      </c>
      <c r="F370" s="488" t="str">
        <f>'Total Price List'!F749</f>
        <v>License</v>
      </c>
      <c r="G370" s="487" t="str">
        <f>'Total Price List'!G749</f>
        <v>G Data PatchMangement</v>
      </c>
      <c r="H370" s="487" t="str">
        <f>'Total Price List'!H749</f>
        <v>network license 3 years</v>
      </c>
      <c r="I370" s="501">
        <f>'Total Price List'!I749</f>
        <v>45</v>
      </c>
      <c r="J370" s="502">
        <f>'Total Price List'!J749</f>
        <v>45</v>
      </c>
      <c r="K370" s="518"/>
    </row>
    <row r="371" spans="1:11" s="495" customFormat="1" ht="12" customHeight="1" x14ac:dyDescent="0.25">
      <c r="A371" s="506" t="str">
        <f>'Total Price List'!A750</f>
        <v>G Data</v>
      </c>
      <c r="B371" s="488">
        <f>'Total Price List'!B750</f>
        <v>22137</v>
      </c>
      <c r="C371" s="487"/>
      <c r="D371" s="487" t="str">
        <f>'Total Price List'!D750</f>
        <v>License 3Y GD PM 500+</v>
      </c>
      <c r="E371" s="487" t="str">
        <f>'Total Price List'!E750</f>
        <v>License 499&lt; x &lt;1000</v>
      </c>
      <c r="F371" s="488" t="str">
        <f>'Total Price List'!F750</f>
        <v>License</v>
      </c>
      <c r="G371" s="487" t="str">
        <f>'Total Price List'!G750</f>
        <v>G Data PatchMangement</v>
      </c>
      <c r="H371" s="487" t="str">
        <f>'Total Price List'!H750</f>
        <v>network license 3 years</v>
      </c>
      <c r="I371" s="501">
        <f>'Total Price List'!I750</f>
        <v>40.5</v>
      </c>
      <c r="J371" s="502">
        <f>'Total Price List'!J750</f>
        <v>40.5</v>
      </c>
      <c r="K371" s="518"/>
    </row>
    <row r="372" spans="1:11" s="495" customFormat="1" ht="12" customHeight="1" thickBot="1" x14ac:dyDescent="0.3">
      <c r="A372" s="506" t="str">
        <f>'Total Price List'!A751</f>
        <v>G Data</v>
      </c>
      <c r="B372" s="488">
        <f>'Total Price List'!B751</f>
        <v>22138</v>
      </c>
      <c r="C372" s="487"/>
      <c r="D372" s="487" t="str">
        <f>'Total Price List'!D751</f>
        <v>License 3Y GD PM 1000+</v>
      </c>
      <c r="E372" s="487" t="str">
        <f>'Total Price List'!E751</f>
        <v>License 999 &lt; x &lt; 2500</v>
      </c>
      <c r="F372" s="488" t="str">
        <f>'Total Price List'!F751</f>
        <v>License</v>
      </c>
      <c r="G372" s="487" t="str">
        <f>'Total Price List'!G751</f>
        <v>G Data PatchMangement</v>
      </c>
      <c r="H372" s="487" t="str">
        <f>'Total Price List'!H751</f>
        <v>network license 3 years</v>
      </c>
      <c r="I372" s="501">
        <f>'Total Price List'!I751</f>
        <v>36</v>
      </c>
      <c r="J372" s="502">
        <f>'Total Price List'!J751</f>
        <v>36</v>
      </c>
      <c r="K372" s="518"/>
    </row>
    <row r="373" spans="1:11" s="495" customFormat="1" ht="12" customHeight="1" x14ac:dyDescent="0.25">
      <c r="A373" s="509" t="str">
        <f>'Total Price List'!A752</f>
        <v>G Data PatchManagement Modul renewal</v>
      </c>
      <c r="B373" s="509"/>
      <c r="C373" s="509"/>
      <c r="D373" s="509"/>
      <c r="E373" s="509"/>
      <c r="F373" s="509"/>
      <c r="G373" s="509"/>
      <c r="H373" s="509"/>
      <c r="I373" s="509"/>
      <c r="J373" s="510"/>
    </row>
    <row r="374" spans="1:11" s="495" customFormat="1" ht="12" customHeight="1" x14ac:dyDescent="0.25">
      <c r="A374" s="507" t="str">
        <f>'Total Price List'!A753</f>
        <v>G Data</v>
      </c>
      <c r="B374" s="490">
        <f>'Total Price List'!B753</f>
        <v>22161</v>
      </c>
      <c r="C374" s="489"/>
      <c r="D374" s="489" t="str">
        <f>'Total Price List'!D753</f>
        <v>Renewal 1Y GD PM -9</v>
      </c>
      <c r="E374" s="489" t="str">
        <f>'Total Price List'!E753</f>
        <v>Renewal 4 &lt; x &lt; 10</v>
      </c>
      <c r="F374" s="490" t="str">
        <f>'Total Price List'!F753</f>
        <v>Renewal</v>
      </c>
      <c r="G374" s="489" t="str">
        <f>'Total Price List'!G753</f>
        <v>G Data PatchMangement</v>
      </c>
      <c r="H374" s="489" t="str">
        <f>'Total Price List'!H753</f>
        <v>network license renewal 1 year</v>
      </c>
      <c r="I374" s="505">
        <f>'Total Price List'!I753</f>
        <v>37.5</v>
      </c>
      <c r="J374" s="504">
        <f>'Total Price List'!J753</f>
        <v>37.5</v>
      </c>
      <c r="K374" s="518"/>
    </row>
    <row r="375" spans="1:11" s="495" customFormat="1" ht="12" customHeight="1" x14ac:dyDescent="0.25">
      <c r="A375" s="507" t="str">
        <f>'Total Price List'!A754</f>
        <v>G Data</v>
      </c>
      <c r="B375" s="490">
        <f>'Total Price List'!B754</f>
        <v>22162</v>
      </c>
      <c r="C375" s="489"/>
      <c r="D375" s="489" t="str">
        <f>'Total Price List'!D754</f>
        <v>Renewal 1Y GD PM 10+</v>
      </c>
      <c r="E375" s="489" t="str">
        <f>'Total Price List'!E754</f>
        <v>Renewal 9 &lt; x &lt; 25</v>
      </c>
      <c r="F375" s="490" t="str">
        <f>'Total Price List'!F754</f>
        <v>Renewal</v>
      </c>
      <c r="G375" s="489" t="str">
        <f>'Total Price List'!G754</f>
        <v>G Data PatchMangement</v>
      </c>
      <c r="H375" s="489" t="str">
        <f>'Total Price List'!H754</f>
        <v>network license renewal 1 year</v>
      </c>
      <c r="I375" s="505">
        <f>'Total Price List'!I754</f>
        <v>31.5</v>
      </c>
      <c r="J375" s="504">
        <f>'Total Price List'!J754</f>
        <v>31.5</v>
      </c>
      <c r="K375" s="518"/>
    </row>
    <row r="376" spans="1:11" s="495" customFormat="1" ht="12" customHeight="1" x14ac:dyDescent="0.25">
      <c r="A376" s="507" t="str">
        <f>'Total Price List'!A755</f>
        <v>G Data</v>
      </c>
      <c r="B376" s="490">
        <f>'Total Price List'!B755</f>
        <v>22163</v>
      </c>
      <c r="C376" s="489"/>
      <c r="D376" s="489" t="str">
        <f>'Total Price List'!D755</f>
        <v>Renewal 1Y GD PM 25+</v>
      </c>
      <c r="E376" s="489" t="str">
        <f>'Total Price List'!E755</f>
        <v>Renewal 24 &lt; x &lt; 50</v>
      </c>
      <c r="F376" s="490" t="str">
        <f>'Total Price List'!F755</f>
        <v>Renewal</v>
      </c>
      <c r="G376" s="489" t="str">
        <f>'Total Price List'!G755</f>
        <v>G Data PatchMangement</v>
      </c>
      <c r="H376" s="489" t="str">
        <f>'Total Price List'!H755</f>
        <v>network license renewal 1 year</v>
      </c>
      <c r="I376" s="505">
        <f>'Total Price List'!I755</f>
        <v>25.125</v>
      </c>
      <c r="J376" s="504">
        <f>'Total Price List'!J755</f>
        <v>25.125</v>
      </c>
      <c r="K376" s="518"/>
    </row>
    <row r="377" spans="1:11" s="495" customFormat="1" ht="12" customHeight="1" x14ac:dyDescent="0.25">
      <c r="A377" s="507" t="str">
        <f>'Total Price List'!A756</f>
        <v>G Data</v>
      </c>
      <c r="B377" s="490">
        <f>'Total Price List'!B756</f>
        <v>22164</v>
      </c>
      <c r="C377" s="489"/>
      <c r="D377" s="489" t="str">
        <f>'Total Price List'!D756</f>
        <v>Renewal 1Y GD PM 50+</v>
      </c>
      <c r="E377" s="489" t="str">
        <f>'Total Price List'!E756</f>
        <v>Renewal 49 &lt; x &lt; 100</v>
      </c>
      <c r="F377" s="490" t="str">
        <f>'Total Price List'!F756</f>
        <v>Renewal</v>
      </c>
      <c r="G377" s="489" t="str">
        <f>'Total Price List'!G756</f>
        <v>G Data PatchMangement</v>
      </c>
      <c r="H377" s="489" t="str">
        <f>'Total Price List'!H756</f>
        <v>network license renewal 1 year</v>
      </c>
      <c r="I377" s="505">
        <f>'Total Price List'!I756</f>
        <v>19.5</v>
      </c>
      <c r="J377" s="504">
        <f>'Total Price List'!J756</f>
        <v>19.5</v>
      </c>
      <c r="K377" s="518"/>
    </row>
    <row r="378" spans="1:11" s="495" customFormat="1" ht="12" customHeight="1" x14ac:dyDescent="0.25">
      <c r="A378" s="507" t="str">
        <f>'Total Price List'!A757</f>
        <v>G Data</v>
      </c>
      <c r="B378" s="490">
        <f>'Total Price List'!B757</f>
        <v>22165</v>
      </c>
      <c r="C378" s="489"/>
      <c r="D378" s="489" t="str">
        <f>'Total Price List'!D757</f>
        <v>Renewal 1Y GD PM 100+</v>
      </c>
      <c r="E378" s="489" t="str">
        <f>'Total Price List'!E757</f>
        <v>Renewal 99 &lt; x &lt; 250</v>
      </c>
      <c r="F378" s="490" t="str">
        <f>'Total Price List'!F757</f>
        <v>Renewal</v>
      </c>
      <c r="G378" s="489" t="str">
        <f>'Total Price List'!G757</f>
        <v>G Data PatchMangement</v>
      </c>
      <c r="H378" s="489" t="str">
        <f>'Total Price List'!H757</f>
        <v>network license renewal 1 year</v>
      </c>
      <c r="I378" s="505">
        <f>'Total Price List'!I757</f>
        <v>17.25</v>
      </c>
      <c r="J378" s="504">
        <f>'Total Price List'!J757</f>
        <v>17.25</v>
      </c>
      <c r="K378" s="518"/>
    </row>
    <row r="379" spans="1:11" s="495" customFormat="1" ht="12" customHeight="1" x14ac:dyDescent="0.25">
      <c r="A379" s="507" t="str">
        <f>'Total Price List'!A758</f>
        <v>G Data</v>
      </c>
      <c r="B379" s="490">
        <f>'Total Price List'!B758</f>
        <v>22166</v>
      </c>
      <c r="C379" s="489"/>
      <c r="D379" s="489" t="str">
        <f>'Total Price List'!D758</f>
        <v>Renewal 1Y GD PM 250+</v>
      </c>
      <c r="E379" s="489" t="str">
        <f>'Total Price List'!E758</f>
        <v>Renewal 249 &lt; x &lt; 500</v>
      </c>
      <c r="F379" s="490" t="str">
        <f>'Total Price List'!F758</f>
        <v>Renewal</v>
      </c>
      <c r="G379" s="489" t="str">
        <f>'Total Price List'!G758</f>
        <v>G Data PatchMangement</v>
      </c>
      <c r="H379" s="489" t="str">
        <f>'Total Price List'!H758</f>
        <v>network license renewal 1 year</v>
      </c>
      <c r="I379" s="505">
        <f>'Total Price List'!I758</f>
        <v>15</v>
      </c>
      <c r="J379" s="504">
        <f>'Total Price List'!J758</f>
        <v>15</v>
      </c>
      <c r="K379" s="518"/>
    </row>
    <row r="380" spans="1:11" s="495" customFormat="1" ht="12" customHeight="1" x14ac:dyDescent="0.25">
      <c r="A380" s="507" t="str">
        <f>'Total Price List'!A759</f>
        <v>G Data</v>
      </c>
      <c r="B380" s="490">
        <f>'Total Price List'!B759</f>
        <v>22167</v>
      </c>
      <c r="C380" s="489"/>
      <c r="D380" s="489" t="str">
        <f>'Total Price List'!D759</f>
        <v>Renewal 1Y GD PM 500+</v>
      </c>
      <c r="E380" s="489" t="str">
        <f>'Total Price List'!E759</f>
        <v>Renewal 499 &lt; x &lt; 1000</v>
      </c>
      <c r="F380" s="490" t="str">
        <f>'Total Price List'!F759</f>
        <v>Renewal</v>
      </c>
      <c r="G380" s="489" t="str">
        <f>'Total Price List'!G759</f>
        <v>G Data PatchMangement</v>
      </c>
      <c r="H380" s="489" t="str">
        <f>'Total Price List'!H759</f>
        <v>network license renewal 1 year</v>
      </c>
      <c r="I380" s="505">
        <f>'Total Price List'!I759</f>
        <v>13.5</v>
      </c>
      <c r="J380" s="504">
        <f>'Total Price List'!J759</f>
        <v>13.5</v>
      </c>
      <c r="K380" s="518"/>
    </row>
    <row r="381" spans="1:11" s="495" customFormat="1" ht="12" customHeight="1" x14ac:dyDescent="0.25">
      <c r="A381" s="507" t="str">
        <f>'Total Price List'!A760</f>
        <v>G Data</v>
      </c>
      <c r="B381" s="490">
        <f>'Total Price List'!B760</f>
        <v>22168</v>
      </c>
      <c r="C381" s="489"/>
      <c r="D381" s="489" t="str">
        <f>'Total Price List'!D760</f>
        <v>Renewal 1Y GD PM 1000+</v>
      </c>
      <c r="E381" s="489" t="str">
        <f>'Total Price List'!E760</f>
        <v>Renewal 999 &lt; x &lt; 2500</v>
      </c>
      <c r="F381" s="490" t="str">
        <f>'Total Price List'!F760</f>
        <v>Renewal</v>
      </c>
      <c r="G381" s="489" t="str">
        <f>'Total Price List'!G760</f>
        <v>G Data PatchMangement</v>
      </c>
      <c r="H381" s="489" t="str">
        <f>'Total Price List'!H760</f>
        <v>network license renewal 1 year</v>
      </c>
      <c r="I381" s="505">
        <f>'Total Price List'!I760</f>
        <v>12</v>
      </c>
      <c r="J381" s="504">
        <f>'Total Price List'!J760</f>
        <v>12</v>
      </c>
      <c r="K381" s="518"/>
    </row>
    <row r="382" spans="1:11" s="495" customFormat="1" ht="12" customHeight="1" x14ac:dyDescent="0.25">
      <c r="A382" s="507" t="str">
        <f>'Total Price List'!A761</f>
        <v>G Data</v>
      </c>
      <c r="B382" s="490">
        <f>'Total Price List'!B761</f>
        <v>22171</v>
      </c>
      <c r="C382" s="489"/>
      <c r="D382" s="489" t="str">
        <f>'Total Price List'!D761</f>
        <v>Renewal 2Y GD PM -9</v>
      </c>
      <c r="E382" s="489" t="str">
        <f>'Total Price List'!E761</f>
        <v>Renewal 4&lt; x &lt;10</v>
      </c>
      <c r="F382" s="490" t="str">
        <f>'Total Price List'!F761</f>
        <v>Renewal</v>
      </c>
      <c r="G382" s="489" t="str">
        <f>'Total Price List'!G761</f>
        <v>G Data PatchMangement</v>
      </c>
      <c r="H382" s="489" t="str">
        <f>'Total Price List'!H761</f>
        <v>network license renewal 2 years</v>
      </c>
      <c r="I382" s="505">
        <f>'Total Price List'!I761</f>
        <v>75</v>
      </c>
      <c r="J382" s="504">
        <f>'Total Price List'!J761</f>
        <v>75</v>
      </c>
      <c r="K382" s="518"/>
    </row>
    <row r="383" spans="1:11" s="495" customFormat="1" ht="12" customHeight="1" x14ac:dyDescent="0.25">
      <c r="A383" s="507" t="str">
        <f>'Total Price List'!A762</f>
        <v>G Data</v>
      </c>
      <c r="B383" s="490">
        <f>'Total Price List'!B762</f>
        <v>22172</v>
      </c>
      <c r="C383" s="489"/>
      <c r="D383" s="489" t="str">
        <f>'Total Price List'!D762</f>
        <v>Renewal 2Y GD PM 10+</v>
      </c>
      <c r="E383" s="489" t="str">
        <f>'Total Price List'!E762</f>
        <v>Renewal 9&lt; x &lt;25</v>
      </c>
      <c r="F383" s="490" t="str">
        <f>'Total Price List'!F762</f>
        <v>Renewal</v>
      </c>
      <c r="G383" s="489" t="str">
        <f>'Total Price List'!G762</f>
        <v>G Data PatchMangement</v>
      </c>
      <c r="H383" s="489" t="str">
        <f>'Total Price List'!H762</f>
        <v>network license renewal 2 years</v>
      </c>
      <c r="I383" s="505">
        <f>'Total Price List'!I762</f>
        <v>63</v>
      </c>
      <c r="J383" s="504">
        <f>'Total Price List'!J762</f>
        <v>63</v>
      </c>
      <c r="K383" s="518"/>
    </row>
    <row r="384" spans="1:11" s="495" customFormat="1" ht="12" customHeight="1" x14ac:dyDescent="0.25">
      <c r="A384" s="507" t="str">
        <f>'Total Price List'!A763</f>
        <v>G Data</v>
      </c>
      <c r="B384" s="490">
        <f>'Total Price List'!B763</f>
        <v>22173</v>
      </c>
      <c r="C384" s="489"/>
      <c r="D384" s="489" t="str">
        <f>'Total Price List'!D763</f>
        <v>Renewal 2Y GD PM 25+</v>
      </c>
      <c r="E384" s="489" t="str">
        <f>'Total Price List'!E763</f>
        <v>Renewal 24&lt; x &lt;50</v>
      </c>
      <c r="F384" s="490" t="str">
        <f>'Total Price List'!F763</f>
        <v>Renewal</v>
      </c>
      <c r="G384" s="489" t="str">
        <f>'Total Price List'!G763</f>
        <v>G Data PatchMangement</v>
      </c>
      <c r="H384" s="489" t="str">
        <f>'Total Price List'!H763</f>
        <v>network license renewal 2 years</v>
      </c>
      <c r="I384" s="505">
        <f>'Total Price List'!I763</f>
        <v>50.25</v>
      </c>
      <c r="J384" s="504">
        <f>'Total Price List'!J763</f>
        <v>50.25</v>
      </c>
      <c r="K384" s="518"/>
    </row>
    <row r="385" spans="1:11" s="495" customFormat="1" ht="12" customHeight="1" x14ac:dyDescent="0.25">
      <c r="A385" s="507" t="str">
        <f>'Total Price List'!A764</f>
        <v>G Data</v>
      </c>
      <c r="B385" s="490">
        <f>'Total Price List'!B764</f>
        <v>22174</v>
      </c>
      <c r="C385" s="489"/>
      <c r="D385" s="489" t="str">
        <f>'Total Price List'!D764</f>
        <v>Renewal 2Y GD PM 50+</v>
      </c>
      <c r="E385" s="489" t="str">
        <f>'Total Price List'!E764</f>
        <v>Renewal 49&lt; x &lt;100</v>
      </c>
      <c r="F385" s="490" t="str">
        <f>'Total Price List'!F764</f>
        <v>Renewal</v>
      </c>
      <c r="G385" s="489" t="str">
        <f>'Total Price List'!G764</f>
        <v>G Data PatchMangement</v>
      </c>
      <c r="H385" s="489" t="str">
        <f>'Total Price List'!H764</f>
        <v>network license renewal 2 years</v>
      </c>
      <c r="I385" s="505">
        <f>'Total Price List'!I764</f>
        <v>39</v>
      </c>
      <c r="J385" s="504">
        <f>'Total Price List'!J764</f>
        <v>39</v>
      </c>
      <c r="K385" s="518"/>
    </row>
    <row r="386" spans="1:11" s="495" customFormat="1" ht="12" customHeight="1" x14ac:dyDescent="0.25">
      <c r="A386" s="507" t="str">
        <f>'Total Price List'!A765</f>
        <v>G Data</v>
      </c>
      <c r="B386" s="490">
        <f>'Total Price List'!B765</f>
        <v>22175</v>
      </c>
      <c r="C386" s="489"/>
      <c r="D386" s="489" t="str">
        <f>'Total Price List'!D765</f>
        <v>Renewal 2Y GD PM 100+</v>
      </c>
      <c r="E386" s="489" t="str">
        <f>'Total Price List'!E765</f>
        <v>Renewal 99&lt; x &lt;250</v>
      </c>
      <c r="F386" s="490" t="str">
        <f>'Total Price List'!F765</f>
        <v>Renewal</v>
      </c>
      <c r="G386" s="489" t="str">
        <f>'Total Price List'!G765</f>
        <v>G Data PatchMangement</v>
      </c>
      <c r="H386" s="489" t="str">
        <f>'Total Price List'!H765</f>
        <v>network license renewal 2 years</v>
      </c>
      <c r="I386" s="505">
        <f>'Total Price List'!I765</f>
        <v>34.5</v>
      </c>
      <c r="J386" s="504">
        <f>'Total Price List'!J765</f>
        <v>34.5</v>
      </c>
      <c r="K386" s="518"/>
    </row>
    <row r="387" spans="1:11" s="495" customFormat="1" ht="12" customHeight="1" x14ac:dyDescent="0.25">
      <c r="A387" s="507" t="str">
        <f>'Total Price List'!A766</f>
        <v>G Data</v>
      </c>
      <c r="B387" s="490">
        <f>'Total Price List'!B766</f>
        <v>22176</v>
      </c>
      <c r="C387" s="489"/>
      <c r="D387" s="489" t="str">
        <f>'Total Price List'!D766</f>
        <v>Renewal 2Y GD PM 250+</v>
      </c>
      <c r="E387" s="489" t="str">
        <f>'Total Price List'!E766</f>
        <v>Renewal 249&lt; x &lt;500</v>
      </c>
      <c r="F387" s="490" t="str">
        <f>'Total Price List'!F766</f>
        <v>Renewal</v>
      </c>
      <c r="G387" s="489" t="str">
        <f>'Total Price List'!G766</f>
        <v>G Data PatchMangement</v>
      </c>
      <c r="H387" s="489" t="str">
        <f>'Total Price List'!H766</f>
        <v>network license renewal 2 years</v>
      </c>
      <c r="I387" s="505">
        <f>'Total Price List'!I766</f>
        <v>30</v>
      </c>
      <c r="J387" s="504">
        <f>'Total Price List'!J766</f>
        <v>30</v>
      </c>
      <c r="K387" s="518"/>
    </row>
    <row r="388" spans="1:11" s="495" customFormat="1" ht="12" customHeight="1" x14ac:dyDescent="0.25">
      <c r="A388" s="507" t="str">
        <f>'Total Price List'!A767</f>
        <v>G Data</v>
      </c>
      <c r="B388" s="490">
        <f>'Total Price List'!B767</f>
        <v>22177</v>
      </c>
      <c r="C388" s="489"/>
      <c r="D388" s="489" t="str">
        <f>'Total Price List'!D767</f>
        <v>Renewal 2Y GD PM 500+</v>
      </c>
      <c r="E388" s="489" t="str">
        <f>'Total Price List'!E767</f>
        <v>Renewal 499&lt; x &lt;1000</v>
      </c>
      <c r="F388" s="490" t="str">
        <f>'Total Price List'!F767</f>
        <v>Renewal</v>
      </c>
      <c r="G388" s="489" t="str">
        <f>'Total Price List'!G767</f>
        <v>G Data PatchMangement</v>
      </c>
      <c r="H388" s="489" t="str">
        <f>'Total Price List'!H767</f>
        <v>network license renewal 2 years</v>
      </c>
      <c r="I388" s="505">
        <f>'Total Price List'!I767</f>
        <v>27</v>
      </c>
      <c r="J388" s="504">
        <f>'Total Price List'!J767</f>
        <v>27</v>
      </c>
      <c r="K388" s="518"/>
    </row>
    <row r="389" spans="1:11" s="495" customFormat="1" ht="12" customHeight="1" x14ac:dyDescent="0.25">
      <c r="A389" s="507" t="str">
        <f>'Total Price List'!A768</f>
        <v>G Data</v>
      </c>
      <c r="B389" s="490">
        <f>'Total Price List'!B768</f>
        <v>22178</v>
      </c>
      <c r="C389" s="489"/>
      <c r="D389" s="489" t="str">
        <f>'Total Price List'!D768</f>
        <v>Renewal 2Y GD PM 1000+</v>
      </c>
      <c r="E389" s="489" t="str">
        <f>'Total Price List'!E768</f>
        <v>Renewal 999 &lt; x &lt; 2500</v>
      </c>
      <c r="F389" s="490" t="str">
        <f>'Total Price List'!F768</f>
        <v>Renewal</v>
      </c>
      <c r="G389" s="489" t="str">
        <f>'Total Price List'!G768</f>
        <v>G Data PatchMangement</v>
      </c>
      <c r="H389" s="489" t="str">
        <f>'Total Price List'!H768</f>
        <v>network license renewal 2 years</v>
      </c>
      <c r="I389" s="505">
        <f>'Total Price List'!I768</f>
        <v>24</v>
      </c>
      <c r="J389" s="504">
        <f>'Total Price List'!J768</f>
        <v>24</v>
      </c>
      <c r="K389" s="518"/>
    </row>
    <row r="390" spans="1:11" s="495" customFormat="1" ht="12" customHeight="1" x14ac:dyDescent="0.25">
      <c r="A390" s="507" t="str">
        <f>'Total Price List'!A769</f>
        <v>G Data</v>
      </c>
      <c r="B390" s="490">
        <f>'Total Price List'!B769</f>
        <v>22181</v>
      </c>
      <c r="C390" s="489"/>
      <c r="D390" s="489" t="str">
        <f>'Total Price List'!D769</f>
        <v>Renewal 3Y GD PM -9</v>
      </c>
      <c r="E390" s="489" t="str">
        <f>'Total Price List'!E769</f>
        <v>Renewal 4&lt; x &lt;10</v>
      </c>
      <c r="F390" s="490" t="str">
        <f>'Total Price List'!F769</f>
        <v>Renewal</v>
      </c>
      <c r="G390" s="489" t="str">
        <f>'Total Price List'!G769</f>
        <v>G Data PatchMangement</v>
      </c>
      <c r="H390" s="489" t="str">
        <f>'Total Price List'!H769</f>
        <v>network license renewal 3 years</v>
      </c>
      <c r="I390" s="505">
        <f>'Total Price List'!I769</f>
        <v>112.5</v>
      </c>
      <c r="J390" s="504">
        <f>'Total Price List'!J769</f>
        <v>112.5</v>
      </c>
      <c r="K390" s="518"/>
    </row>
    <row r="391" spans="1:11" s="495" customFormat="1" ht="12" customHeight="1" x14ac:dyDescent="0.25">
      <c r="A391" s="507" t="str">
        <f>'Total Price List'!A770</f>
        <v>G Data</v>
      </c>
      <c r="B391" s="490">
        <f>'Total Price List'!B770</f>
        <v>22182</v>
      </c>
      <c r="C391" s="489"/>
      <c r="D391" s="489" t="str">
        <f>'Total Price List'!D770</f>
        <v>Renewal 3Y GD PM 10+</v>
      </c>
      <c r="E391" s="489" t="str">
        <f>'Total Price List'!E770</f>
        <v>Renewal 9&lt; x &lt;25</v>
      </c>
      <c r="F391" s="490" t="str">
        <f>'Total Price List'!F770</f>
        <v>Renewal</v>
      </c>
      <c r="G391" s="489" t="str">
        <f>'Total Price List'!G770</f>
        <v>G Data PatchMangement</v>
      </c>
      <c r="H391" s="489" t="str">
        <f>'Total Price List'!H770</f>
        <v>network license renewal 3 years</v>
      </c>
      <c r="I391" s="505">
        <f>'Total Price List'!I770</f>
        <v>94.5</v>
      </c>
      <c r="J391" s="504">
        <f>'Total Price List'!J770</f>
        <v>94.5</v>
      </c>
      <c r="K391" s="518"/>
    </row>
    <row r="392" spans="1:11" s="495" customFormat="1" ht="12" customHeight="1" x14ac:dyDescent="0.25">
      <c r="A392" s="507" t="str">
        <f>'Total Price List'!A771</f>
        <v>G Data</v>
      </c>
      <c r="B392" s="490">
        <f>'Total Price List'!B771</f>
        <v>22183</v>
      </c>
      <c r="C392" s="489"/>
      <c r="D392" s="489" t="str">
        <f>'Total Price List'!D771</f>
        <v>Renewal 3Y GD PM 25+</v>
      </c>
      <c r="E392" s="489" t="str">
        <f>'Total Price List'!E771</f>
        <v>Renewal 24&lt; x &lt;50</v>
      </c>
      <c r="F392" s="490" t="str">
        <f>'Total Price List'!F771</f>
        <v>Renewal</v>
      </c>
      <c r="G392" s="489" t="str">
        <f>'Total Price List'!G771</f>
        <v>G Data PatchMangement</v>
      </c>
      <c r="H392" s="489" t="str">
        <f>'Total Price List'!H771</f>
        <v>network license renewal 3 years</v>
      </c>
      <c r="I392" s="505">
        <f>'Total Price List'!I771</f>
        <v>75.375</v>
      </c>
      <c r="J392" s="504">
        <f>'Total Price List'!J771</f>
        <v>75.375</v>
      </c>
      <c r="K392" s="518"/>
    </row>
    <row r="393" spans="1:11" s="495" customFormat="1" ht="12" customHeight="1" x14ac:dyDescent="0.25">
      <c r="A393" s="507" t="str">
        <f>'Total Price List'!A772</f>
        <v>G Data</v>
      </c>
      <c r="B393" s="490">
        <f>'Total Price List'!B772</f>
        <v>22184</v>
      </c>
      <c r="C393" s="489"/>
      <c r="D393" s="489" t="str">
        <f>'Total Price List'!D772</f>
        <v>Renewal 3Y GD PM 50+</v>
      </c>
      <c r="E393" s="489" t="str">
        <f>'Total Price List'!E772</f>
        <v>Renewal 49&lt; x &lt;100</v>
      </c>
      <c r="F393" s="490" t="str">
        <f>'Total Price List'!F772</f>
        <v>Renewal</v>
      </c>
      <c r="G393" s="489" t="str">
        <f>'Total Price List'!G772</f>
        <v>G Data PatchMangement</v>
      </c>
      <c r="H393" s="489" t="str">
        <f>'Total Price List'!H772</f>
        <v>network license renewal 3 years</v>
      </c>
      <c r="I393" s="505">
        <f>'Total Price List'!I772</f>
        <v>58.5</v>
      </c>
      <c r="J393" s="504">
        <f>'Total Price List'!J772</f>
        <v>58.5</v>
      </c>
      <c r="K393" s="518"/>
    </row>
    <row r="394" spans="1:11" s="495" customFormat="1" ht="12" customHeight="1" x14ac:dyDescent="0.25">
      <c r="A394" s="507" t="str">
        <f>'Total Price List'!A773</f>
        <v>G Data</v>
      </c>
      <c r="B394" s="490">
        <f>'Total Price List'!B773</f>
        <v>22185</v>
      </c>
      <c r="C394" s="489"/>
      <c r="D394" s="489" t="str">
        <f>'Total Price List'!D773</f>
        <v>Renewal 3Y GD PM 100+</v>
      </c>
      <c r="E394" s="489" t="str">
        <f>'Total Price List'!E773</f>
        <v>Renewal 99&lt; x &lt;250</v>
      </c>
      <c r="F394" s="490" t="str">
        <f>'Total Price List'!F773</f>
        <v>Renewal</v>
      </c>
      <c r="G394" s="489" t="str">
        <f>'Total Price List'!G773</f>
        <v>G Data PatchMangement</v>
      </c>
      <c r="H394" s="489" t="str">
        <f>'Total Price List'!H773</f>
        <v>network license renewal 3 years</v>
      </c>
      <c r="I394" s="505">
        <f>'Total Price List'!I773</f>
        <v>51.75</v>
      </c>
      <c r="J394" s="504">
        <f>'Total Price List'!J773</f>
        <v>51.75</v>
      </c>
      <c r="K394" s="518"/>
    </row>
    <row r="395" spans="1:11" s="495" customFormat="1" ht="12" customHeight="1" x14ac:dyDescent="0.25">
      <c r="A395" s="507" t="str">
        <f>'Total Price List'!A774</f>
        <v>G Data</v>
      </c>
      <c r="B395" s="490">
        <f>'Total Price List'!B774</f>
        <v>22186</v>
      </c>
      <c r="C395" s="489"/>
      <c r="D395" s="489" t="str">
        <f>'Total Price List'!D774</f>
        <v>Renewal 3Y GD PM 250+</v>
      </c>
      <c r="E395" s="489" t="str">
        <f>'Total Price List'!E774</f>
        <v>Renewal 249&lt; x &lt;500</v>
      </c>
      <c r="F395" s="490" t="str">
        <f>'Total Price List'!F774</f>
        <v>Renewal</v>
      </c>
      <c r="G395" s="489" t="str">
        <f>'Total Price List'!G774</f>
        <v>G Data PatchMangement</v>
      </c>
      <c r="H395" s="489" t="str">
        <f>'Total Price List'!H774</f>
        <v>network license renewal 3 years</v>
      </c>
      <c r="I395" s="505">
        <f>'Total Price List'!I774</f>
        <v>45</v>
      </c>
      <c r="J395" s="504">
        <f>'Total Price List'!J774</f>
        <v>45</v>
      </c>
      <c r="K395" s="518"/>
    </row>
    <row r="396" spans="1:11" s="495" customFormat="1" ht="12" customHeight="1" x14ac:dyDescent="0.25">
      <c r="A396" s="507" t="str">
        <f>'Total Price List'!A775</f>
        <v>G Data</v>
      </c>
      <c r="B396" s="490">
        <f>'Total Price List'!B775</f>
        <v>22187</v>
      </c>
      <c r="C396" s="489"/>
      <c r="D396" s="489" t="str">
        <f>'Total Price List'!D775</f>
        <v>Renewal 3Y GD PM 500+</v>
      </c>
      <c r="E396" s="489" t="str">
        <f>'Total Price List'!E775</f>
        <v>Renewal 499&lt; x &lt;1000</v>
      </c>
      <c r="F396" s="490" t="str">
        <f>'Total Price List'!F775</f>
        <v>Renewal</v>
      </c>
      <c r="G396" s="489" t="str">
        <f>'Total Price List'!G775</f>
        <v>G Data PatchMangement</v>
      </c>
      <c r="H396" s="489" t="str">
        <f>'Total Price List'!H775</f>
        <v>network license renewal 3 years</v>
      </c>
      <c r="I396" s="505">
        <f>'Total Price List'!I775</f>
        <v>40.5</v>
      </c>
      <c r="J396" s="504">
        <f>'Total Price List'!J775</f>
        <v>40.5</v>
      </c>
      <c r="K396" s="518"/>
    </row>
    <row r="397" spans="1:11" s="495" customFormat="1" ht="12" customHeight="1" x14ac:dyDescent="0.25">
      <c r="A397" s="507" t="str">
        <f>'Total Price List'!A776</f>
        <v>G Data</v>
      </c>
      <c r="B397" s="490">
        <f>'Total Price List'!B776</f>
        <v>22188</v>
      </c>
      <c r="C397" s="489"/>
      <c r="D397" s="489" t="str">
        <f>'Total Price List'!D776</f>
        <v>Renewal 3Y GD PM 1000+</v>
      </c>
      <c r="E397" s="489" t="str">
        <f>'Total Price List'!E776</f>
        <v>Renewal 999 &lt; x &lt; 2500</v>
      </c>
      <c r="F397" s="490" t="str">
        <f>'Total Price List'!F776</f>
        <v>Renewal</v>
      </c>
      <c r="G397" s="489" t="str">
        <f>'Total Price List'!G776</f>
        <v>G Data PatchMangement</v>
      </c>
      <c r="H397" s="489" t="str">
        <f>'Total Price List'!H776</f>
        <v>network license renewal 3 years</v>
      </c>
      <c r="I397" s="505">
        <f>'Total Price List'!I776</f>
        <v>36</v>
      </c>
      <c r="J397" s="504">
        <f>'Total Price List'!J776</f>
        <v>36</v>
      </c>
      <c r="K397" s="518"/>
    </row>
    <row r="398" spans="1:11" ht="12" customHeight="1" thickBot="1" x14ac:dyDescent="0.3">
      <c r="K398" s="294"/>
    </row>
    <row r="399" spans="1:11" s="854" customFormat="1" ht="12" customHeight="1" x14ac:dyDescent="0.2">
      <c r="A399" s="873" t="s">
        <v>942</v>
      </c>
      <c r="B399" s="874"/>
      <c r="C399" s="874"/>
      <c r="D399" s="874"/>
      <c r="E399" s="874"/>
      <c r="F399" s="874"/>
      <c r="G399" s="874"/>
      <c r="H399" s="874"/>
      <c r="I399" s="874"/>
      <c r="J399" s="875"/>
      <c r="K399" s="853"/>
    </row>
    <row r="400" spans="1:11" s="854" customFormat="1" ht="12" customHeight="1" x14ac:dyDescent="0.2">
      <c r="A400" s="856" t="s">
        <v>931</v>
      </c>
      <c r="B400" s="857"/>
      <c r="C400" s="857"/>
      <c r="D400" s="857"/>
      <c r="E400" s="857"/>
      <c r="F400" s="857"/>
      <c r="G400" s="857"/>
      <c r="H400" s="857"/>
      <c r="I400" s="857"/>
      <c r="J400" s="858"/>
    </row>
    <row r="401" spans="1:10" s="854" customFormat="1" ht="12" customHeight="1" x14ac:dyDescent="0.2">
      <c r="A401" s="856" t="s">
        <v>932</v>
      </c>
      <c r="B401" s="857"/>
      <c r="C401" s="857"/>
      <c r="D401" s="857"/>
      <c r="E401" s="857"/>
      <c r="F401" s="857"/>
      <c r="G401" s="857"/>
      <c r="H401" s="857"/>
      <c r="I401" s="857"/>
      <c r="J401" s="858"/>
    </row>
    <row r="402" spans="1:10" s="854" customFormat="1" ht="12" customHeight="1" thickBot="1" x14ac:dyDescent="0.25">
      <c r="A402" s="859" t="s">
        <v>933</v>
      </c>
      <c r="B402" s="860"/>
      <c r="C402" s="860"/>
      <c r="D402" s="860"/>
      <c r="E402" s="860"/>
      <c r="F402" s="860"/>
      <c r="G402" s="860"/>
      <c r="H402" s="860"/>
      <c r="I402" s="860"/>
      <c r="J402" s="861"/>
    </row>
    <row r="403" spans="1:10" s="854" customFormat="1" ht="12" customHeight="1" thickBot="1" x14ac:dyDescent="0.25">
      <c r="A403" s="573"/>
      <c r="B403" s="572"/>
      <c r="C403" s="572"/>
      <c r="D403" s="572"/>
      <c r="E403" s="572"/>
      <c r="F403" s="573"/>
      <c r="G403" s="572"/>
      <c r="H403" s="572"/>
      <c r="I403" s="574"/>
      <c r="J403" s="572"/>
    </row>
    <row r="404" spans="1:10" s="854" customFormat="1" ht="12" customHeight="1" x14ac:dyDescent="0.2">
      <c r="A404" s="632" t="s">
        <v>934</v>
      </c>
      <c r="B404" s="633"/>
      <c r="C404" s="633"/>
      <c r="D404" s="633"/>
      <c r="E404" s="633"/>
      <c r="F404" s="634"/>
      <c r="G404" s="633"/>
      <c r="H404" s="633"/>
      <c r="I404" s="633"/>
      <c r="J404" s="635"/>
    </row>
    <row r="405" spans="1:10" s="854" customFormat="1" ht="12" customHeight="1" x14ac:dyDescent="0.2">
      <c r="A405" s="636" t="s">
        <v>941</v>
      </c>
      <c r="B405" s="637"/>
      <c r="C405" s="637"/>
      <c r="D405" s="637"/>
      <c r="E405" s="637"/>
      <c r="F405" s="638"/>
      <c r="G405" s="637"/>
      <c r="H405" s="637"/>
      <c r="I405" s="637"/>
      <c r="J405" s="639"/>
    </row>
    <row r="406" spans="1:10" s="854" customFormat="1" ht="12" customHeight="1" x14ac:dyDescent="0.2">
      <c r="A406" s="636" t="s">
        <v>943</v>
      </c>
      <c r="B406" s="640"/>
      <c r="C406" s="640"/>
      <c r="D406" s="640"/>
      <c r="E406" s="640"/>
      <c r="F406" s="640"/>
      <c r="G406" s="640"/>
      <c r="H406" s="640"/>
      <c r="I406" s="640"/>
      <c r="J406" s="641"/>
    </row>
    <row r="407" spans="1:10" s="854" customFormat="1" ht="12" customHeight="1" x14ac:dyDescent="0.2">
      <c r="A407" s="636" t="s">
        <v>944</v>
      </c>
      <c r="B407" s="640"/>
      <c r="C407" s="640"/>
      <c r="D407" s="640"/>
      <c r="E407" s="640"/>
      <c r="F407" s="640"/>
      <c r="G407" s="640"/>
      <c r="H407" s="640"/>
      <c r="I407" s="640"/>
      <c r="J407" s="641"/>
    </row>
    <row r="408" spans="1:10" s="854" customFormat="1" ht="12" customHeight="1" thickBot="1" x14ac:dyDescent="0.25">
      <c r="A408" s="642" t="s">
        <v>945</v>
      </c>
      <c r="B408" s="643"/>
      <c r="C408" s="643"/>
      <c r="D408" s="643"/>
      <c r="E408" s="643"/>
      <c r="F408" s="643"/>
      <c r="G408" s="643"/>
      <c r="H408" s="643"/>
      <c r="I408" s="643"/>
      <c r="J408" s="644"/>
    </row>
    <row r="409" spans="1:10" ht="12" customHeight="1" x14ac:dyDescent="0.25"/>
    <row r="410" spans="1:10" ht="12" customHeight="1" x14ac:dyDescent="0.25"/>
    <row r="411" spans="1:10" ht="12" customHeight="1" x14ac:dyDescent="0.25"/>
    <row r="412" spans="1:10" ht="12" customHeight="1" x14ac:dyDescent="0.25"/>
    <row r="413" spans="1:10" ht="12" customHeight="1" x14ac:dyDescent="0.25"/>
  </sheetData>
  <sheetProtection algorithmName="SHA-512" hashValue="V84ZLrJ/XsymALhOchLMUZ2aMXG1TQN61NnnvEb50nhLnHX+gcQ4TyWQyTqvAMSqwbrA7Ou9ZwFxKBYFIKhTXQ==" saltValue="x/KVcRB75rlmXrgwUsIhvg==" spinCount="100000" sheet="1" objects="1" scenarios="1" formatColumns="0" sort="0" autoFilter="0"/>
  <autoFilter ref="A3:I418"/>
  <mergeCells count="5">
    <mergeCell ref="A401:J401"/>
    <mergeCell ref="A402:J402"/>
    <mergeCell ref="E2:G2"/>
    <mergeCell ref="A400:J400"/>
    <mergeCell ref="A399:J399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theme="4" tint="0.39997558519241921"/>
  </sheetPr>
  <dimension ref="A1:J451"/>
  <sheetViews>
    <sheetView showGridLines="0" workbookViewId="0">
      <pane ySplit="3" topLeftCell="A34" activePane="bottomLeft" state="frozenSplit"/>
      <selection pane="bottomLeft" activeCell="B61" sqref="B61"/>
    </sheetView>
  </sheetViews>
  <sheetFormatPr baseColWidth="10" defaultRowHeight="15" x14ac:dyDescent="0.25"/>
  <cols>
    <col min="1" max="1" width="9.28515625" customWidth="1"/>
    <col min="2" max="2" width="13.140625" bestFit="1" customWidth="1"/>
    <col min="3" max="3" width="5.85546875" bestFit="1" customWidth="1"/>
    <col min="4" max="4" width="20" bestFit="1" customWidth="1"/>
    <col min="5" max="5" width="14.7109375" bestFit="1" customWidth="1"/>
    <col min="6" max="6" width="6.7109375" bestFit="1" customWidth="1"/>
    <col min="7" max="7" width="25.5703125" bestFit="1" customWidth="1"/>
    <col min="8" max="8" width="24.5703125" bestFit="1" customWidth="1"/>
    <col min="9" max="9" width="12.42578125" bestFit="1" customWidth="1"/>
    <col min="10" max="10" width="10.7109375" bestFit="1" customWidth="1"/>
  </cols>
  <sheetData>
    <row r="1" spans="1:10" ht="18.75" x14ac:dyDescent="0.3">
      <c r="A1" s="110" t="s">
        <v>800</v>
      </c>
      <c r="G1" s="877"/>
      <c r="H1" s="877"/>
      <c r="I1" s="877"/>
    </row>
    <row r="2" spans="1:10" ht="15.75" thickBot="1" x14ac:dyDescent="0.3"/>
    <row r="3" spans="1:10" ht="36.75" thickBot="1" x14ac:dyDescent="0.3">
      <c r="A3" s="579" t="s">
        <v>743</v>
      </c>
      <c r="B3" s="580" t="s">
        <v>744</v>
      </c>
      <c r="C3" s="580" t="s">
        <v>449</v>
      </c>
      <c r="D3" s="580" t="s">
        <v>745</v>
      </c>
      <c r="E3" s="580" t="s">
        <v>938</v>
      </c>
      <c r="F3" s="580" t="s">
        <v>939</v>
      </c>
      <c r="G3" s="580" t="s">
        <v>748</v>
      </c>
      <c r="H3" s="580" t="s">
        <v>749</v>
      </c>
      <c r="I3" s="581" t="s">
        <v>750</v>
      </c>
      <c r="J3" s="582" t="s">
        <v>751</v>
      </c>
    </row>
    <row r="4" spans="1:10" ht="12" customHeight="1" x14ac:dyDescent="0.25">
      <c r="A4" s="113" t="str">
        <f>'Total Price List'!A689</f>
        <v>G Data multi-user license</v>
      </c>
      <c r="B4" s="114"/>
      <c r="C4" s="114"/>
      <c r="D4" s="114"/>
      <c r="E4" s="114"/>
      <c r="F4" s="114"/>
      <c r="G4" s="114"/>
      <c r="H4" s="114"/>
      <c r="I4" s="114"/>
      <c r="J4" s="115"/>
    </row>
    <row r="5" spans="1:10" ht="12" customHeight="1" x14ac:dyDescent="0.25">
      <c r="A5" s="93" t="str">
        <f>'Total Price List'!A690</f>
        <v>G Data</v>
      </c>
      <c r="B5" s="48">
        <f>'Total Price List'!B690</f>
        <v>20011</v>
      </c>
      <c r="C5" s="119"/>
      <c r="D5" s="49" t="str">
        <f>'Total Price List'!D690</f>
        <v>License 1Y GD AV 5+</v>
      </c>
      <c r="E5" s="49" t="str">
        <f>'Total Price List'!E690</f>
        <v>License 5 &lt; x &lt; 25</v>
      </c>
      <c r="F5" s="48" t="str">
        <f>'Total Price List'!F690</f>
        <v>License</v>
      </c>
      <c r="G5" s="49" t="str">
        <f>'Total Price List'!G690</f>
        <v>G Data AntiVirus</v>
      </c>
      <c r="H5" s="49" t="str">
        <f>'Total Price List'!H690</f>
        <v>multi-user license 1 year</v>
      </c>
      <c r="I5" s="50">
        <f>'Total Price List'!I690</f>
        <v>14.8</v>
      </c>
      <c r="J5" s="120">
        <f>'Total Price List'!J690</f>
        <v>14.8</v>
      </c>
    </row>
    <row r="6" spans="1:10" ht="12" customHeight="1" x14ac:dyDescent="0.25">
      <c r="A6" s="93" t="str">
        <f>'Total Price List'!A691</f>
        <v>G Data</v>
      </c>
      <c r="B6" s="48">
        <f>'Total Price List'!B691</f>
        <v>20013</v>
      </c>
      <c r="C6" s="119"/>
      <c r="D6" s="49" t="str">
        <f>'Total Price List'!D691</f>
        <v>License 1Y GD AV 25+</v>
      </c>
      <c r="E6" s="49" t="str">
        <f>'Total Price List'!E691</f>
        <v>License 24&lt; x &lt; 50</v>
      </c>
      <c r="F6" s="48" t="str">
        <f>'Total Price List'!F691</f>
        <v>License</v>
      </c>
      <c r="G6" s="49" t="str">
        <f>'Total Price List'!G691</f>
        <v>G Data AntiVirus</v>
      </c>
      <c r="H6" s="49" t="str">
        <f>'Total Price List'!H691</f>
        <v>multi-user license 1 year</v>
      </c>
      <c r="I6" s="50">
        <f>'Total Price List'!I691</f>
        <v>13</v>
      </c>
      <c r="J6" s="120">
        <f>'Total Price List'!J691</f>
        <v>13</v>
      </c>
    </row>
    <row r="7" spans="1:10" ht="12" customHeight="1" x14ac:dyDescent="0.25">
      <c r="A7" s="93" t="str">
        <f>'Total Price List'!A692</f>
        <v>G Data</v>
      </c>
      <c r="B7" s="48">
        <f>'Total Price List'!B692</f>
        <v>20021</v>
      </c>
      <c r="C7" s="119"/>
      <c r="D7" s="49" t="str">
        <f>'Total Price List'!D692</f>
        <v>License 2Y GD AV 5+</v>
      </c>
      <c r="E7" s="49" t="str">
        <f>'Total Price List'!E692</f>
        <v>License 5 &lt; x &lt; 25</v>
      </c>
      <c r="F7" s="48" t="str">
        <f>'Total Price List'!F692</f>
        <v>License</v>
      </c>
      <c r="G7" s="49" t="str">
        <f>'Total Price List'!G692</f>
        <v>G Data AntiVirus</v>
      </c>
      <c r="H7" s="49" t="str">
        <f>'Total Price List'!H692</f>
        <v>multi-user license 2 years</v>
      </c>
      <c r="I7" s="50">
        <f>'Total Price List'!I692</f>
        <v>27</v>
      </c>
      <c r="J7" s="120">
        <f>'Total Price List'!J692</f>
        <v>27</v>
      </c>
    </row>
    <row r="8" spans="1:10" ht="12" customHeight="1" x14ac:dyDescent="0.25">
      <c r="A8" s="93" t="str">
        <f>'Total Price List'!A693</f>
        <v>G Data</v>
      </c>
      <c r="B8" s="48">
        <f>'Total Price List'!B693</f>
        <v>20023</v>
      </c>
      <c r="C8" s="119"/>
      <c r="D8" s="49" t="str">
        <f>'Total Price List'!D693</f>
        <v>License 2Y GD AV 25+</v>
      </c>
      <c r="E8" s="49" t="str">
        <f>'Total Price List'!E693</f>
        <v>License 24&lt; x &lt; 50</v>
      </c>
      <c r="F8" s="48" t="str">
        <f>'Total Price List'!F693</f>
        <v>License</v>
      </c>
      <c r="G8" s="49" t="str">
        <f>'Total Price List'!G693</f>
        <v>G Data AntiVirus</v>
      </c>
      <c r="H8" s="49" t="str">
        <f>'Total Price List'!H693</f>
        <v>multi-user license 2 years</v>
      </c>
      <c r="I8" s="50">
        <f>'Total Price List'!I693</f>
        <v>23</v>
      </c>
      <c r="J8" s="120">
        <f>'Total Price List'!J693</f>
        <v>23</v>
      </c>
    </row>
    <row r="9" spans="1:10" ht="12" customHeight="1" x14ac:dyDescent="0.25">
      <c r="A9" s="93" t="str">
        <f>'Total Price List'!A694</f>
        <v>G Data</v>
      </c>
      <c r="B9" s="48">
        <f>'Total Price List'!B694</f>
        <v>20031</v>
      </c>
      <c r="C9" s="119"/>
      <c r="D9" s="49" t="str">
        <f>'Total Price List'!D694</f>
        <v>License 3Y GD AV 5+</v>
      </c>
      <c r="E9" s="49" t="str">
        <f>'Total Price List'!E694</f>
        <v>License 5 &lt; x &lt; 25</v>
      </c>
      <c r="F9" s="48" t="str">
        <f>'Total Price List'!F694</f>
        <v>License</v>
      </c>
      <c r="G9" s="49" t="str">
        <f>'Total Price List'!G694</f>
        <v>G Data AntiVirus</v>
      </c>
      <c r="H9" s="49" t="str">
        <f>'Total Price List'!H694</f>
        <v>multi-user license 3 years</v>
      </c>
      <c r="I9" s="50">
        <f>'Total Price List'!I694</f>
        <v>39</v>
      </c>
      <c r="J9" s="120">
        <f>'Total Price List'!J694</f>
        <v>39</v>
      </c>
    </row>
    <row r="10" spans="1:10" ht="12" customHeight="1" x14ac:dyDescent="0.25">
      <c r="A10" s="93" t="str">
        <f>'Total Price List'!A695</f>
        <v>G Data</v>
      </c>
      <c r="B10" s="48">
        <f>'Total Price List'!B695</f>
        <v>20033</v>
      </c>
      <c r="C10" s="119"/>
      <c r="D10" s="49" t="str">
        <f>'Total Price List'!D695</f>
        <v>License 3Y GD AV 25+</v>
      </c>
      <c r="E10" s="49" t="str">
        <f>'Total Price List'!E695</f>
        <v>License 24&lt; x &lt; 50</v>
      </c>
      <c r="F10" s="48" t="str">
        <f>'Total Price List'!F695</f>
        <v>License</v>
      </c>
      <c r="G10" s="49" t="str">
        <f>'Total Price List'!G695</f>
        <v>G Data AntiVirus</v>
      </c>
      <c r="H10" s="49" t="str">
        <f>'Total Price List'!H695</f>
        <v>multi-user license 3 years</v>
      </c>
      <c r="I10" s="50">
        <f>'Total Price List'!I695</f>
        <v>33</v>
      </c>
      <c r="J10" s="120">
        <f>'Total Price List'!J695</f>
        <v>33</v>
      </c>
    </row>
    <row r="11" spans="1:10" ht="12" customHeight="1" x14ac:dyDescent="0.25">
      <c r="A11" s="93" t="str">
        <f>'Total Price List'!A696</f>
        <v>G Data</v>
      </c>
      <c r="B11" s="48">
        <f>'Total Price List'!B696</f>
        <v>20111</v>
      </c>
      <c r="C11" s="119"/>
      <c r="D11" s="49" t="str">
        <f>'Total Price List'!D696</f>
        <v>License 1Y GD IS 5+</v>
      </c>
      <c r="E11" s="49" t="str">
        <f>'Total Price List'!E696</f>
        <v>License 5 &lt; x &lt; 25</v>
      </c>
      <c r="F11" s="48" t="str">
        <f>'Total Price List'!F696</f>
        <v>License</v>
      </c>
      <c r="G11" s="49" t="str">
        <f>'Total Price List'!G696</f>
        <v>G Data InternetSecurity</v>
      </c>
      <c r="H11" s="49" t="str">
        <f>'Total Price List'!H696</f>
        <v>multi-user license 1 year</v>
      </c>
      <c r="I11" s="50">
        <f>'Total Price List'!I696</f>
        <v>15.8</v>
      </c>
      <c r="J11" s="120">
        <f>'Total Price List'!J696</f>
        <v>15.8</v>
      </c>
    </row>
    <row r="12" spans="1:10" ht="12" customHeight="1" x14ac:dyDescent="0.25">
      <c r="A12" s="93" t="str">
        <f>'Total Price List'!A697</f>
        <v>G Data</v>
      </c>
      <c r="B12" s="48">
        <f>'Total Price List'!B697</f>
        <v>20113</v>
      </c>
      <c r="C12" s="119"/>
      <c r="D12" s="49" t="str">
        <f>'Total Price List'!D697</f>
        <v>License 1Y GD IS 25+</v>
      </c>
      <c r="E12" s="49" t="str">
        <f>'Total Price List'!E697</f>
        <v>License 24&lt; x &lt; 50</v>
      </c>
      <c r="F12" s="48" t="str">
        <f>'Total Price List'!F697</f>
        <v>License</v>
      </c>
      <c r="G12" s="49" t="str">
        <f>'Total Price List'!G697</f>
        <v>G Data InternetSecurity</v>
      </c>
      <c r="H12" s="49" t="str">
        <f>'Total Price List'!H697</f>
        <v>multi-user license 1 year</v>
      </c>
      <c r="I12" s="50">
        <f>'Total Price List'!I697</f>
        <v>14</v>
      </c>
      <c r="J12" s="120">
        <f>'Total Price List'!J697</f>
        <v>14</v>
      </c>
    </row>
    <row r="13" spans="1:10" ht="12" customHeight="1" x14ac:dyDescent="0.25">
      <c r="A13" s="93" t="str">
        <f>'Total Price List'!A698</f>
        <v>G Data</v>
      </c>
      <c r="B13" s="48">
        <f>'Total Price List'!B698</f>
        <v>20121</v>
      </c>
      <c r="C13" s="119"/>
      <c r="D13" s="49" t="str">
        <f>'Total Price List'!D698</f>
        <v>License 2Y GD IS 5+</v>
      </c>
      <c r="E13" s="49" t="str">
        <f>'Total Price List'!E698</f>
        <v>License 5 &lt; x &lt; 25</v>
      </c>
      <c r="F13" s="48" t="str">
        <f>'Total Price List'!F698</f>
        <v>License</v>
      </c>
      <c r="G13" s="49" t="str">
        <f>'Total Price List'!G698</f>
        <v>G Data InternetSecurity</v>
      </c>
      <c r="H13" s="49" t="str">
        <f>'Total Price List'!H698</f>
        <v>multi-user license 2 years</v>
      </c>
      <c r="I13" s="50">
        <f>'Total Price List'!I698</f>
        <v>29</v>
      </c>
      <c r="J13" s="120">
        <f>'Total Price List'!J698</f>
        <v>29</v>
      </c>
    </row>
    <row r="14" spans="1:10" ht="12" customHeight="1" x14ac:dyDescent="0.25">
      <c r="A14" s="93" t="str">
        <f>'Total Price List'!A699</f>
        <v>G Data</v>
      </c>
      <c r="B14" s="48">
        <f>'Total Price List'!B699</f>
        <v>20123</v>
      </c>
      <c r="C14" s="119"/>
      <c r="D14" s="49" t="str">
        <f>'Total Price List'!D699</f>
        <v>License 2Y GD IS 25+</v>
      </c>
      <c r="E14" s="49" t="str">
        <f>'Total Price List'!E699</f>
        <v>License 24&lt; x &lt; 50</v>
      </c>
      <c r="F14" s="48" t="str">
        <f>'Total Price List'!F699</f>
        <v>License</v>
      </c>
      <c r="G14" s="49" t="str">
        <f>'Total Price List'!G699</f>
        <v>G Data InternetSecurity</v>
      </c>
      <c r="H14" s="49" t="str">
        <f>'Total Price List'!H699</f>
        <v>multi-user license 2 years</v>
      </c>
      <c r="I14" s="50">
        <f>'Total Price List'!I699</f>
        <v>25</v>
      </c>
      <c r="J14" s="120">
        <f>'Total Price List'!J699</f>
        <v>25</v>
      </c>
    </row>
    <row r="15" spans="1:10" ht="12" customHeight="1" x14ac:dyDescent="0.25">
      <c r="A15" s="93" t="str">
        <f>'Total Price List'!A700</f>
        <v>G Data</v>
      </c>
      <c r="B15" s="48">
        <f>'Total Price List'!B700</f>
        <v>20131</v>
      </c>
      <c r="C15" s="119"/>
      <c r="D15" s="49" t="str">
        <f>'Total Price List'!D700</f>
        <v>License 3Y GD IS 5+</v>
      </c>
      <c r="E15" s="49" t="str">
        <f>'Total Price List'!E700</f>
        <v>License 5 &lt; x &lt; 25</v>
      </c>
      <c r="F15" s="48" t="str">
        <f>'Total Price List'!F700</f>
        <v>License</v>
      </c>
      <c r="G15" s="49" t="str">
        <f>'Total Price List'!G700</f>
        <v>G Data InternetSecurity</v>
      </c>
      <c r="H15" s="49" t="str">
        <f>'Total Price List'!H700</f>
        <v>multi-user license 3 years</v>
      </c>
      <c r="I15" s="50">
        <f>'Total Price List'!I700</f>
        <v>39</v>
      </c>
      <c r="J15" s="120">
        <f>'Total Price List'!J700</f>
        <v>39</v>
      </c>
    </row>
    <row r="16" spans="1:10" ht="12" customHeight="1" x14ac:dyDescent="0.25">
      <c r="A16" s="93" t="str">
        <f>'Total Price List'!A701</f>
        <v>G Data</v>
      </c>
      <c r="B16" s="48">
        <f>'Total Price List'!B701</f>
        <v>20133</v>
      </c>
      <c r="C16" s="119"/>
      <c r="D16" s="49" t="str">
        <f>'Total Price List'!D701</f>
        <v>License 3Y GD IS 25+</v>
      </c>
      <c r="E16" s="49" t="str">
        <f>'Total Price List'!E701</f>
        <v>License 24&lt; x &lt; 50</v>
      </c>
      <c r="F16" s="48" t="str">
        <f>'Total Price List'!F701</f>
        <v>License</v>
      </c>
      <c r="G16" s="49" t="str">
        <f>'Total Price List'!G701</f>
        <v>G Data InternetSecurity</v>
      </c>
      <c r="H16" s="49" t="str">
        <f>'Total Price List'!H701</f>
        <v>multi-user license 3 years</v>
      </c>
      <c r="I16" s="50">
        <f>'Total Price List'!I701</f>
        <v>34</v>
      </c>
      <c r="J16" s="120">
        <f>'Total Price List'!J701</f>
        <v>34</v>
      </c>
    </row>
    <row r="17" spans="1:10" ht="12" customHeight="1" x14ac:dyDescent="0.25">
      <c r="A17" s="93" t="str">
        <f>'Total Price List'!A702</f>
        <v>G Data</v>
      </c>
      <c r="B17" s="48">
        <f>'Total Price List'!B702</f>
        <v>21711</v>
      </c>
      <c r="C17" s="119"/>
      <c r="D17" s="49" t="str">
        <f>'Total Price List'!D702</f>
        <v>License 1Y GD TP 5+</v>
      </c>
      <c r="E17" s="49" t="str">
        <f>'Total Price List'!E702</f>
        <v>License 5 &lt; x &lt; 25</v>
      </c>
      <c r="F17" s="48" t="str">
        <f>'Total Price List'!F702</f>
        <v>License</v>
      </c>
      <c r="G17" s="49" t="str">
        <f>'Total Price List'!G702</f>
        <v>G Data TotalProtection</v>
      </c>
      <c r="H17" s="49" t="str">
        <f>'Total Price List'!H702</f>
        <v>multi-user license 1 year</v>
      </c>
      <c r="I17" s="50">
        <f>'Total Price List'!I702</f>
        <v>18</v>
      </c>
      <c r="J17" s="120">
        <f>'Total Price List'!J702</f>
        <v>18</v>
      </c>
    </row>
    <row r="18" spans="1:10" ht="12" customHeight="1" x14ac:dyDescent="0.25">
      <c r="A18" s="93" t="str">
        <f>'Total Price List'!A703</f>
        <v>G Data</v>
      </c>
      <c r="B18" s="48">
        <f>'Total Price List'!B703</f>
        <v>21713</v>
      </c>
      <c r="C18" s="119"/>
      <c r="D18" s="49" t="str">
        <f>'Total Price List'!D703</f>
        <v>License 1Y GD TP 25+</v>
      </c>
      <c r="E18" s="49" t="str">
        <f>'Total Price List'!E703</f>
        <v>License 24&lt; x &lt; 50</v>
      </c>
      <c r="F18" s="48" t="str">
        <f>'Total Price List'!F703</f>
        <v>License</v>
      </c>
      <c r="G18" s="49" t="str">
        <f>'Total Price List'!G703</f>
        <v>G Data TotalProtection</v>
      </c>
      <c r="H18" s="49" t="str">
        <f>'Total Price List'!H703</f>
        <v>multi-user license 1 year</v>
      </c>
      <c r="I18" s="50">
        <f>'Total Price List'!I703</f>
        <v>16</v>
      </c>
      <c r="J18" s="120">
        <f>'Total Price List'!J703</f>
        <v>16</v>
      </c>
    </row>
    <row r="19" spans="1:10" ht="12" customHeight="1" x14ac:dyDescent="0.25">
      <c r="A19" s="93" t="str">
        <f>'Total Price List'!A704</f>
        <v>G Data</v>
      </c>
      <c r="B19" s="48">
        <f>'Total Price List'!B704</f>
        <v>21721</v>
      </c>
      <c r="C19" s="119"/>
      <c r="D19" s="49" t="str">
        <f>'Total Price List'!D704</f>
        <v>License 2Y GD TP 5+</v>
      </c>
      <c r="E19" s="49" t="str">
        <f>'Total Price List'!E704</f>
        <v>License 5 &lt; x &lt; 25</v>
      </c>
      <c r="F19" s="48" t="str">
        <f>'Total Price List'!F704</f>
        <v>License</v>
      </c>
      <c r="G19" s="49" t="str">
        <f>'Total Price List'!G704</f>
        <v>G Data TotalProtection</v>
      </c>
      <c r="H19" s="49" t="str">
        <f>'Total Price List'!H704</f>
        <v>multi-user license 2 years</v>
      </c>
      <c r="I19" s="50">
        <f>'Total Price List'!I704</f>
        <v>32</v>
      </c>
      <c r="J19" s="120">
        <f>'Total Price List'!J704</f>
        <v>32</v>
      </c>
    </row>
    <row r="20" spans="1:10" ht="12" customHeight="1" x14ac:dyDescent="0.25">
      <c r="A20" s="93" t="str">
        <f>'Total Price List'!A705</f>
        <v>G Data</v>
      </c>
      <c r="B20" s="48">
        <f>'Total Price List'!B705</f>
        <v>21723</v>
      </c>
      <c r="C20" s="119"/>
      <c r="D20" s="49" t="str">
        <f>'Total Price List'!D705</f>
        <v>License 2Y GD TP 25+</v>
      </c>
      <c r="E20" s="49" t="str">
        <f>'Total Price List'!E705</f>
        <v>License 24&lt; x &lt; 50</v>
      </c>
      <c r="F20" s="48" t="str">
        <f>'Total Price List'!F705</f>
        <v>License</v>
      </c>
      <c r="G20" s="49" t="str">
        <f>'Total Price List'!G705</f>
        <v>G Data TotalProtection</v>
      </c>
      <c r="H20" s="49" t="str">
        <f>'Total Price List'!H705</f>
        <v>multi-user license 2 years</v>
      </c>
      <c r="I20" s="50">
        <f>'Total Price List'!I705</f>
        <v>28</v>
      </c>
      <c r="J20" s="120">
        <f>'Total Price List'!J705</f>
        <v>28</v>
      </c>
    </row>
    <row r="21" spans="1:10" ht="12" customHeight="1" x14ac:dyDescent="0.25">
      <c r="A21" s="93" t="str">
        <f>'Total Price List'!A706</f>
        <v>G Data</v>
      </c>
      <c r="B21" s="48">
        <f>'Total Price List'!B706</f>
        <v>21731</v>
      </c>
      <c r="C21" s="119"/>
      <c r="D21" s="49" t="str">
        <f>'Total Price List'!D706</f>
        <v>License 3Y GD TP 5+</v>
      </c>
      <c r="E21" s="49" t="str">
        <f>'Total Price List'!E706</f>
        <v>License 5 &lt; x &lt; 25</v>
      </c>
      <c r="F21" s="48" t="str">
        <f>'Total Price List'!F706</f>
        <v>License</v>
      </c>
      <c r="G21" s="49" t="str">
        <f>'Total Price List'!G706</f>
        <v>G Data TotalProtection</v>
      </c>
      <c r="H21" s="49" t="str">
        <f>'Total Price List'!H706</f>
        <v>multi-user license 3 years</v>
      </c>
      <c r="I21" s="50">
        <f>'Total Price List'!I706</f>
        <v>43</v>
      </c>
      <c r="J21" s="120">
        <f>'Total Price List'!J706</f>
        <v>43</v>
      </c>
    </row>
    <row r="22" spans="1:10" ht="12" customHeight="1" thickBot="1" x14ac:dyDescent="0.3">
      <c r="A22" s="121" t="str">
        <f>'Total Price List'!A707</f>
        <v>G Data</v>
      </c>
      <c r="B22" s="122">
        <f>'Total Price List'!B707</f>
        <v>21733</v>
      </c>
      <c r="C22" s="123"/>
      <c r="D22" s="124" t="str">
        <f>'Total Price List'!D707</f>
        <v>License 3Y GD TP 25+</v>
      </c>
      <c r="E22" s="124" t="str">
        <f>'Total Price List'!E707</f>
        <v>License 24&lt; x &lt; 50</v>
      </c>
      <c r="F22" s="122" t="str">
        <f>'Total Price List'!F707</f>
        <v>License</v>
      </c>
      <c r="G22" s="124" t="str">
        <f>'Total Price List'!G707</f>
        <v>G Data TotalProtection</v>
      </c>
      <c r="H22" s="124" t="str">
        <f>'Total Price List'!H707</f>
        <v>multi-user license 3 years</v>
      </c>
      <c r="I22" s="125">
        <f>'Total Price List'!I707</f>
        <v>37</v>
      </c>
      <c r="J22" s="126">
        <f>'Total Price List'!J707</f>
        <v>37</v>
      </c>
    </row>
    <row r="23" spans="1:10" ht="12" customHeight="1" x14ac:dyDescent="0.25">
      <c r="A23" s="116" t="str">
        <f>'Total Price List'!A708</f>
        <v>G Data multi-user license renewal</v>
      </c>
      <c r="B23" s="117"/>
      <c r="C23" s="117"/>
      <c r="D23" s="117"/>
      <c r="E23" s="117"/>
      <c r="F23" s="117"/>
      <c r="G23" s="117"/>
      <c r="H23" s="117"/>
      <c r="I23" s="117"/>
      <c r="J23" s="118"/>
    </row>
    <row r="24" spans="1:10" ht="12" customHeight="1" x14ac:dyDescent="0.25">
      <c r="A24" s="94" t="str">
        <f>'Total Price List'!A709</f>
        <v>G Data</v>
      </c>
      <c r="B24" s="52">
        <f>'Total Price List'!B709</f>
        <v>20061</v>
      </c>
      <c r="C24" s="52"/>
      <c r="D24" s="12" t="str">
        <f>'Total Price List'!D709</f>
        <v>Renewal 1Y GD AV 5+</v>
      </c>
      <c r="E24" s="53" t="str">
        <f>'Total Price List'!E709</f>
        <v>Renewal 5 &lt; x &lt; 25</v>
      </c>
      <c r="F24" s="70" t="str">
        <f>'Total Price List'!F709</f>
        <v>Renewal</v>
      </c>
      <c r="G24" s="53" t="str">
        <f>'Total Price List'!G709</f>
        <v>G Data AntiVirus</v>
      </c>
      <c r="H24" s="12" t="str">
        <f>'Total Price List'!H709</f>
        <v>multi-user license renewal 1 year</v>
      </c>
      <c r="I24" s="60">
        <f>'Total Price List'!I709</f>
        <v>13</v>
      </c>
      <c r="J24" s="51">
        <f>'Total Price List'!J709</f>
        <v>13</v>
      </c>
    </row>
    <row r="25" spans="1:10" ht="12" customHeight="1" x14ac:dyDescent="0.25">
      <c r="A25" s="94" t="str">
        <f>'Total Price List'!A710</f>
        <v>G Data</v>
      </c>
      <c r="B25" s="52">
        <f>'Total Price List'!B710</f>
        <v>20063</v>
      </c>
      <c r="C25" s="52"/>
      <c r="D25" s="12" t="str">
        <f>'Total Price List'!D710</f>
        <v>Renewal 1Y GD AV 25+</v>
      </c>
      <c r="E25" s="53" t="str">
        <f>'Total Price List'!E710</f>
        <v>Renewal 24&lt; x &lt; 50</v>
      </c>
      <c r="F25" s="70" t="str">
        <f>'Total Price List'!F710</f>
        <v>Renewal</v>
      </c>
      <c r="G25" s="53" t="str">
        <f>'Total Price List'!G710</f>
        <v>G Data AntiVirus</v>
      </c>
      <c r="H25" s="12" t="str">
        <f>'Total Price List'!H710</f>
        <v>multi-user license renewal 1 year</v>
      </c>
      <c r="I25" s="60">
        <f>'Total Price List'!I710</f>
        <v>11</v>
      </c>
      <c r="J25" s="51">
        <f>'Total Price List'!J710</f>
        <v>11</v>
      </c>
    </row>
    <row r="26" spans="1:10" ht="12" customHeight="1" x14ac:dyDescent="0.25">
      <c r="A26" s="94" t="str">
        <f>'Total Price List'!A711</f>
        <v>G Data</v>
      </c>
      <c r="B26" s="52">
        <f>'Total Price List'!B711</f>
        <v>20071</v>
      </c>
      <c r="C26" s="52"/>
      <c r="D26" s="12" t="str">
        <f>'Total Price List'!D711</f>
        <v>Renewal 2Y GD AV 5+</v>
      </c>
      <c r="E26" s="53" t="str">
        <f>'Total Price List'!E711</f>
        <v>Renewal 5 &lt; x &lt; 25</v>
      </c>
      <c r="F26" s="70" t="str">
        <f>'Total Price List'!F711</f>
        <v>Renewal</v>
      </c>
      <c r="G26" s="53" t="str">
        <f>'Total Price List'!G711</f>
        <v>G Data AntiVirus</v>
      </c>
      <c r="H26" s="12" t="str">
        <f>'Total Price List'!H711</f>
        <v>multi-user license renewal 2 years</v>
      </c>
      <c r="I26" s="60">
        <f>'Total Price List'!I711</f>
        <v>22.75</v>
      </c>
      <c r="J26" s="51">
        <f>'Total Price List'!J711</f>
        <v>22.75</v>
      </c>
    </row>
    <row r="27" spans="1:10" ht="12" customHeight="1" x14ac:dyDescent="0.25">
      <c r="A27" s="94" t="str">
        <f>'Total Price List'!A712</f>
        <v>G Data</v>
      </c>
      <c r="B27" s="52">
        <f>'Total Price List'!B712</f>
        <v>20073</v>
      </c>
      <c r="C27" s="52"/>
      <c r="D27" s="12" t="str">
        <f>'Total Price List'!D712</f>
        <v>Renewal 2Y GD AV 25+</v>
      </c>
      <c r="E27" s="53" t="str">
        <f>'Total Price List'!E712</f>
        <v>Renewal 24&lt; x &lt; 50</v>
      </c>
      <c r="F27" s="70" t="str">
        <f>'Total Price List'!F712</f>
        <v>Renewal</v>
      </c>
      <c r="G27" s="53" t="str">
        <f>'Total Price List'!G712</f>
        <v>G Data AntiVirus</v>
      </c>
      <c r="H27" s="12" t="str">
        <f>'Total Price List'!H712</f>
        <v>multi-user license renewal 2 years</v>
      </c>
      <c r="I27" s="60">
        <f>'Total Price List'!I712</f>
        <v>19.25</v>
      </c>
      <c r="J27" s="51">
        <f>'Total Price List'!J712</f>
        <v>19.25</v>
      </c>
    </row>
    <row r="28" spans="1:10" ht="12" customHeight="1" x14ac:dyDescent="0.25">
      <c r="A28" s="94" t="str">
        <f>'Total Price List'!A713</f>
        <v>G Data</v>
      </c>
      <c r="B28" s="52">
        <f>'Total Price List'!B713</f>
        <v>20081</v>
      </c>
      <c r="C28" s="52"/>
      <c r="D28" s="12" t="str">
        <f>'Total Price List'!D713</f>
        <v>Renewal 3Y GD AV 5+</v>
      </c>
      <c r="E28" s="53" t="str">
        <f>'Total Price List'!E713</f>
        <v>Renewal 5 &lt; x &lt; 25</v>
      </c>
      <c r="F28" s="70" t="str">
        <f>'Total Price List'!F713</f>
        <v>Renewal</v>
      </c>
      <c r="G28" s="53" t="str">
        <f>'Total Price List'!G713</f>
        <v>G Data AntiVirus</v>
      </c>
      <c r="H28" s="12" t="str">
        <f>'Total Price List'!H713</f>
        <v>multi-user license renewal 3 years</v>
      </c>
      <c r="I28" s="60">
        <f>'Total Price List'!I713</f>
        <v>32.5</v>
      </c>
      <c r="J28" s="51">
        <f>'Total Price List'!J713</f>
        <v>32.5</v>
      </c>
    </row>
    <row r="29" spans="1:10" ht="12" customHeight="1" x14ac:dyDescent="0.25">
      <c r="A29" s="94" t="str">
        <f>'Total Price List'!A714</f>
        <v>G Data</v>
      </c>
      <c r="B29" s="52">
        <f>'Total Price List'!B714</f>
        <v>20083</v>
      </c>
      <c r="C29" s="52"/>
      <c r="D29" s="12" t="str">
        <f>'Total Price List'!D714</f>
        <v>Renewal 3Y GD AV 25+</v>
      </c>
      <c r="E29" s="53" t="str">
        <f>'Total Price List'!E714</f>
        <v>Renewal 24&lt; x &lt; 50</v>
      </c>
      <c r="F29" s="70" t="str">
        <f>'Total Price List'!F714</f>
        <v>Renewal</v>
      </c>
      <c r="G29" s="53" t="str">
        <f>'Total Price List'!G714</f>
        <v>G Data AntiVirus</v>
      </c>
      <c r="H29" s="12" t="str">
        <f>'Total Price List'!H714</f>
        <v>multi-user license renewal 3 years</v>
      </c>
      <c r="I29" s="60">
        <f>'Total Price List'!I714</f>
        <v>27.5</v>
      </c>
      <c r="J29" s="51">
        <f>'Total Price List'!J714</f>
        <v>27.5</v>
      </c>
    </row>
    <row r="30" spans="1:10" ht="12" customHeight="1" x14ac:dyDescent="0.25">
      <c r="A30" s="94" t="str">
        <f>'Total Price List'!A715</f>
        <v>G Data</v>
      </c>
      <c r="B30" s="52">
        <f>'Total Price List'!B715</f>
        <v>20161</v>
      </c>
      <c r="C30" s="52"/>
      <c r="D30" s="12" t="str">
        <f>'Total Price List'!D715</f>
        <v>Renewal 1Y GD IS 5+</v>
      </c>
      <c r="E30" s="53" t="str">
        <f>'Total Price List'!E715</f>
        <v>Renewal 5 &lt; x &lt; 25</v>
      </c>
      <c r="F30" s="70" t="str">
        <f>'Total Price List'!F715</f>
        <v>Renewal</v>
      </c>
      <c r="G30" s="53" t="str">
        <f>'Total Price List'!G715</f>
        <v>G Data InternetSecurity</v>
      </c>
      <c r="H30" s="12" t="str">
        <f>'Total Price List'!H715</f>
        <v>multi-user license renewal 1 year</v>
      </c>
      <c r="I30" s="60">
        <f>'Total Price List'!I715</f>
        <v>14</v>
      </c>
      <c r="J30" s="51">
        <f>'Total Price List'!J715</f>
        <v>14</v>
      </c>
    </row>
    <row r="31" spans="1:10" ht="12" customHeight="1" x14ac:dyDescent="0.25">
      <c r="A31" s="94" t="str">
        <f>'Total Price List'!A716</f>
        <v>G Data</v>
      </c>
      <c r="B31" s="52">
        <f>'Total Price List'!B716</f>
        <v>20163</v>
      </c>
      <c r="C31" s="52"/>
      <c r="D31" s="12" t="str">
        <f>'Total Price List'!D716</f>
        <v>Renewal 1Y GD IS 25+</v>
      </c>
      <c r="E31" s="53" t="str">
        <f>'Total Price List'!E716</f>
        <v>Renewal 24&lt; x &lt; 50</v>
      </c>
      <c r="F31" s="70" t="str">
        <f>'Total Price List'!F716</f>
        <v>Renewal</v>
      </c>
      <c r="G31" s="53" t="str">
        <f>'Total Price List'!G716</f>
        <v>G Data InternetSecurity</v>
      </c>
      <c r="H31" s="12" t="str">
        <f>'Total Price List'!H716</f>
        <v>multi-user license renewal 1 year</v>
      </c>
      <c r="I31" s="60">
        <f>'Total Price List'!I716</f>
        <v>12</v>
      </c>
      <c r="J31" s="51">
        <f>'Total Price List'!J716</f>
        <v>12</v>
      </c>
    </row>
    <row r="32" spans="1:10" ht="12" customHeight="1" x14ac:dyDescent="0.25">
      <c r="A32" s="94" t="str">
        <f>'Total Price List'!A717</f>
        <v>G Data</v>
      </c>
      <c r="B32" s="52">
        <f>'Total Price List'!B717</f>
        <v>20171</v>
      </c>
      <c r="C32" s="52"/>
      <c r="D32" s="12" t="str">
        <f>'Total Price List'!D717</f>
        <v>Renewal 2Y GD IS 5+</v>
      </c>
      <c r="E32" s="53" t="str">
        <f>'Total Price List'!E717</f>
        <v>Renewal 5 &lt; x &lt; 25</v>
      </c>
      <c r="F32" s="70" t="str">
        <f>'Total Price List'!F717</f>
        <v>Renewal</v>
      </c>
      <c r="G32" s="53" t="str">
        <f>'Total Price List'!G717</f>
        <v>G Data InternetSecurity</v>
      </c>
      <c r="H32" s="12" t="str">
        <f>'Total Price List'!H717</f>
        <v>multi-user license renewal 2 years</v>
      </c>
      <c r="I32" s="60">
        <f>'Total Price List'!I717</f>
        <v>24.5</v>
      </c>
      <c r="J32" s="51">
        <f>'Total Price List'!J717</f>
        <v>24.5</v>
      </c>
    </row>
    <row r="33" spans="1:10" ht="12" customHeight="1" x14ac:dyDescent="0.25">
      <c r="A33" s="94" t="str">
        <f>'Total Price List'!A718</f>
        <v>G Data</v>
      </c>
      <c r="B33" s="52">
        <f>'Total Price List'!B718</f>
        <v>20173</v>
      </c>
      <c r="C33" s="52"/>
      <c r="D33" s="12" t="str">
        <f>'Total Price List'!D718</f>
        <v>Renewal 2Y GD IS 25+</v>
      </c>
      <c r="E33" s="53" t="str">
        <f>'Total Price List'!E718</f>
        <v>Renewal 24&lt; x &lt; 50</v>
      </c>
      <c r="F33" s="70" t="str">
        <f>'Total Price List'!F718</f>
        <v>Renewal</v>
      </c>
      <c r="G33" s="53" t="str">
        <f>'Total Price List'!G718</f>
        <v>G Data InternetSecurity</v>
      </c>
      <c r="H33" s="12" t="str">
        <f>'Total Price List'!H718</f>
        <v>multi-user license renewal 2 years</v>
      </c>
      <c r="I33" s="60">
        <f>'Total Price List'!I718</f>
        <v>21</v>
      </c>
      <c r="J33" s="51">
        <f>'Total Price List'!J718</f>
        <v>21</v>
      </c>
    </row>
    <row r="34" spans="1:10" ht="12" customHeight="1" x14ac:dyDescent="0.25">
      <c r="A34" s="94" t="str">
        <f>'Total Price List'!A719</f>
        <v>G Data</v>
      </c>
      <c r="B34" s="52">
        <f>'Total Price List'!B719</f>
        <v>20181</v>
      </c>
      <c r="C34" s="52"/>
      <c r="D34" s="12" t="str">
        <f>'Total Price List'!D719</f>
        <v>Renewal 3Y GD IS 5+</v>
      </c>
      <c r="E34" s="53" t="str">
        <f>'Total Price List'!E719</f>
        <v>Renewal 5 &lt; x &lt; 25</v>
      </c>
      <c r="F34" s="70" t="str">
        <f>'Total Price List'!F719</f>
        <v>Renewal</v>
      </c>
      <c r="G34" s="53" t="str">
        <f>'Total Price List'!G719</f>
        <v>G Data InternetSecurity</v>
      </c>
      <c r="H34" s="12" t="str">
        <f>'Total Price List'!H719</f>
        <v>multi-user license renewal 3 years</v>
      </c>
      <c r="I34" s="60">
        <f>'Total Price List'!I719</f>
        <v>35</v>
      </c>
      <c r="J34" s="51">
        <f>'Total Price List'!J719</f>
        <v>35</v>
      </c>
    </row>
    <row r="35" spans="1:10" ht="12" customHeight="1" x14ac:dyDescent="0.25">
      <c r="A35" s="94" t="str">
        <f>'Total Price List'!A720</f>
        <v>G Data</v>
      </c>
      <c r="B35" s="52">
        <f>'Total Price List'!B720</f>
        <v>20183</v>
      </c>
      <c r="C35" s="52"/>
      <c r="D35" s="12" t="str">
        <f>'Total Price List'!D720</f>
        <v>Renewal 3Y GD IS 25+</v>
      </c>
      <c r="E35" s="53" t="str">
        <f>'Total Price List'!E720</f>
        <v>Renewal 24&lt; x &lt; 50</v>
      </c>
      <c r="F35" s="70" t="str">
        <f>'Total Price List'!F720</f>
        <v>Renewal</v>
      </c>
      <c r="G35" s="53" t="str">
        <f>'Total Price List'!G720</f>
        <v>G Data InternetSecurity</v>
      </c>
      <c r="H35" s="12" t="str">
        <f>'Total Price List'!H720</f>
        <v>multi-user license renewal 3 years</v>
      </c>
      <c r="I35" s="60">
        <f>'Total Price List'!I720</f>
        <v>30</v>
      </c>
      <c r="J35" s="51">
        <f>'Total Price List'!J720</f>
        <v>30</v>
      </c>
    </row>
    <row r="36" spans="1:10" ht="12" customHeight="1" x14ac:dyDescent="0.25">
      <c r="A36" s="94" t="str">
        <f>'Total Price List'!A721</f>
        <v>G Data</v>
      </c>
      <c r="B36" s="52">
        <f>'Total Price List'!B721</f>
        <v>21761</v>
      </c>
      <c r="C36" s="52"/>
      <c r="D36" s="12" t="str">
        <f>'Total Price List'!D721</f>
        <v>Renewal 1Y GD TP 5+</v>
      </c>
      <c r="E36" s="53" t="str">
        <f>'Total Price List'!E721</f>
        <v>Renewal 5 &lt; x &lt; 25</v>
      </c>
      <c r="F36" s="70" t="str">
        <f>'Total Price List'!F721</f>
        <v>Renewal</v>
      </c>
      <c r="G36" s="53" t="str">
        <f>'Total Price List'!G721</f>
        <v>G Data TotalProtection</v>
      </c>
      <c r="H36" s="12" t="str">
        <f>'Total Price List'!H721</f>
        <v>multi-user license renewal 1 year</v>
      </c>
      <c r="I36" s="60">
        <f>'Total Price List'!I721</f>
        <v>15</v>
      </c>
      <c r="J36" s="51">
        <f>'Total Price List'!J721</f>
        <v>15</v>
      </c>
    </row>
    <row r="37" spans="1:10" ht="12" customHeight="1" x14ac:dyDescent="0.25">
      <c r="A37" s="94" t="str">
        <f>'Total Price List'!A722</f>
        <v>G Data</v>
      </c>
      <c r="B37" s="52">
        <f>'Total Price List'!B722</f>
        <v>21763</v>
      </c>
      <c r="C37" s="52"/>
      <c r="D37" s="12" t="str">
        <f>'Total Price List'!D722</f>
        <v>Renewal 1Y GD TP 25+</v>
      </c>
      <c r="E37" s="53" t="str">
        <f>'Total Price List'!E722</f>
        <v>Renewal 24&lt; x &lt; 50</v>
      </c>
      <c r="F37" s="70" t="str">
        <f>'Total Price List'!F722</f>
        <v>Renewal</v>
      </c>
      <c r="G37" s="53" t="str">
        <f>'Total Price List'!G722</f>
        <v>G Data TotalProtection</v>
      </c>
      <c r="H37" s="12" t="str">
        <f>'Total Price List'!H722</f>
        <v>multi-user license renewal 1 year</v>
      </c>
      <c r="I37" s="60">
        <f>'Total Price List'!I722</f>
        <v>13</v>
      </c>
      <c r="J37" s="51">
        <f>'Total Price List'!J722</f>
        <v>13</v>
      </c>
    </row>
    <row r="38" spans="1:10" ht="12" customHeight="1" x14ac:dyDescent="0.25">
      <c r="A38" s="94" t="str">
        <f>'Total Price List'!A723</f>
        <v>G Data</v>
      </c>
      <c r="B38" s="52">
        <f>'Total Price List'!B723</f>
        <v>21771</v>
      </c>
      <c r="C38" s="52"/>
      <c r="D38" s="12" t="str">
        <f>'Total Price List'!D723</f>
        <v>Renewal 2Y GD TP 5+</v>
      </c>
      <c r="E38" s="53" t="str">
        <f>'Total Price List'!E723</f>
        <v>Renewal 5 &lt; x &lt; 25</v>
      </c>
      <c r="F38" s="70" t="str">
        <f>'Total Price List'!F723</f>
        <v>Renewal</v>
      </c>
      <c r="G38" s="53" t="str">
        <f>'Total Price List'!G723</f>
        <v>G Data TotalProtection</v>
      </c>
      <c r="H38" s="12" t="str">
        <f>'Total Price List'!H723</f>
        <v>multi-user license renewal 2 years</v>
      </c>
      <c r="I38" s="60">
        <f>'Total Price List'!I723</f>
        <v>26.25</v>
      </c>
      <c r="J38" s="51">
        <f>'Total Price List'!J723</f>
        <v>26.25</v>
      </c>
    </row>
    <row r="39" spans="1:10" ht="12" customHeight="1" x14ac:dyDescent="0.25">
      <c r="A39" s="94" t="str">
        <f>'Total Price List'!A724</f>
        <v>G Data</v>
      </c>
      <c r="B39" s="52">
        <f>'Total Price List'!B724</f>
        <v>21773</v>
      </c>
      <c r="C39" s="52"/>
      <c r="D39" s="12" t="str">
        <f>'Total Price List'!D724</f>
        <v>Renewal 2Y GD TP 25+</v>
      </c>
      <c r="E39" s="53" t="str">
        <f>'Total Price List'!E724</f>
        <v>Renewal 24&lt; x &lt; 50</v>
      </c>
      <c r="F39" s="70" t="str">
        <f>'Total Price List'!F724</f>
        <v>Renewal</v>
      </c>
      <c r="G39" s="53" t="str">
        <f>'Total Price List'!G724</f>
        <v>G Data TotalProtection</v>
      </c>
      <c r="H39" s="12" t="str">
        <f>'Total Price List'!H724</f>
        <v>multi-user license renewal 2 years</v>
      </c>
      <c r="I39" s="60">
        <f>'Total Price List'!I724</f>
        <v>22.75</v>
      </c>
      <c r="J39" s="51">
        <f>'Total Price List'!J724</f>
        <v>22.75</v>
      </c>
    </row>
    <row r="40" spans="1:10" ht="12" customHeight="1" x14ac:dyDescent="0.25">
      <c r="A40" s="94" t="str">
        <f>'Total Price List'!A725</f>
        <v>G Data</v>
      </c>
      <c r="B40" s="52">
        <f>'Total Price List'!B725</f>
        <v>21781</v>
      </c>
      <c r="C40" s="52"/>
      <c r="D40" s="12" t="str">
        <f>'Total Price List'!D725</f>
        <v>Renewal 3Y GD TP 5+</v>
      </c>
      <c r="E40" s="53" t="str">
        <f>'Total Price List'!E725</f>
        <v>Renewal 5 &lt; x &lt; 25</v>
      </c>
      <c r="F40" s="70" t="str">
        <f>'Total Price List'!F725</f>
        <v>Renewal</v>
      </c>
      <c r="G40" s="53" t="str">
        <f>'Total Price List'!G725</f>
        <v>G Data TotalProtection</v>
      </c>
      <c r="H40" s="12" t="str">
        <f>'Total Price List'!H725</f>
        <v>multi-user license renewal 3 years</v>
      </c>
      <c r="I40" s="60">
        <f>'Total Price List'!I725</f>
        <v>37.5</v>
      </c>
      <c r="J40" s="51">
        <f>'Total Price List'!J725</f>
        <v>37.5</v>
      </c>
    </row>
    <row r="41" spans="1:10" ht="12" customHeight="1" thickBot="1" x14ac:dyDescent="0.3">
      <c r="A41" s="127" t="str">
        <f>'Total Price List'!A726</f>
        <v>G Data</v>
      </c>
      <c r="B41" s="128">
        <f>'Total Price List'!B726</f>
        <v>21783</v>
      </c>
      <c r="C41" s="128"/>
      <c r="D41" s="37" t="str">
        <f>'Total Price List'!D726</f>
        <v>Renewal 3Y GD TP 25+</v>
      </c>
      <c r="E41" s="129" t="str">
        <f>'Total Price List'!E726</f>
        <v>Renewal 24&lt; x &lt; 50</v>
      </c>
      <c r="F41" s="71" t="str">
        <f>'Total Price List'!F726</f>
        <v>Renewal</v>
      </c>
      <c r="G41" s="129" t="str">
        <f>'Total Price List'!G726</f>
        <v>G Data TotalProtection</v>
      </c>
      <c r="H41" s="37" t="str">
        <f>'Total Price List'!H726</f>
        <v>multi-user license renewal 3 years</v>
      </c>
      <c r="I41" s="130">
        <f>'Total Price List'!I726</f>
        <v>32.5</v>
      </c>
      <c r="J41" s="131">
        <f>'Total Price List'!J726</f>
        <v>32.5</v>
      </c>
    </row>
    <row r="42" spans="1:10" s="112" customFormat="1" ht="12" customHeight="1" x14ac:dyDescent="0.25">
      <c r="A42" s="116" t="str">
        <f>'Total Price List'!A677</f>
        <v>G Data MobileSecurity2 multi-user license</v>
      </c>
      <c r="B42" s="117"/>
      <c r="C42" s="117"/>
      <c r="D42" s="117"/>
      <c r="E42" s="117"/>
      <c r="F42" s="117"/>
      <c r="G42" s="117"/>
      <c r="H42" s="117"/>
      <c r="I42" s="117"/>
      <c r="J42" s="118"/>
    </row>
    <row r="43" spans="1:10" ht="12" customHeight="1" x14ac:dyDescent="0.25">
      <c r="A43" s="83" t="str">
        <f>'Total Price List'!A678</f>
        <v>G Data</v>
      </c>
      <c r="B43" s="4">
        <f>'Total Price List'!B678</f>
        <v>21811</v>
      </c>
      <c r="C43" s="4"/>
      <c r="D43" s="132" t="str">
        <f>'Total Price List'!D678</f>
        <v>License 1Y GD MOBs 2 -9</v>
      </c>
      <c r="E43" s="132" t="str">
        <f>'Total Price List'!E678</f>
        <v>License 1 &lt; x &lt; 10</v>
      </c>
      <c r="F43" s="4" t="str">
        <f>'Total Price List'!F678</f>
        <v>License</v>
      </c>
      <c r="G43" s="132" t="str">
        <f>'Total Price List'!G678</f>
        <v>G Data MobileSecurity 2 for Android</v>
      </c>
      <c r="H43" s="132" t="str">
        <f>'Total Price List'!H678</f>
        <v>multi-user license 1 year</v>
      </c>
      <c r="I43" s="133">
        <f>'Total Price List'!I678</f>
        <v>12.5</v>
      </c>
      <c r="J43" s="134">
        <f>'Total Price List'!J678</f>
        <v>12.5</v>
      </c>
    </row>
    <row r="44" spans="1:10" ht="12" customHeight="1" x14ac:dyDescent="0.25">
      <c r="A44" s="83" t="str">
        <f>'Total Price List'!A679</f>
        <v>G Data</v>
      </c>
      <c r="B44" s="4">
        <f>'Total Price List'!B679</f>
        <v>21812</v>
      </c>
      <c r="C44" s="4"/>
      <c r="D44" s="132" t="str">
        <f>'Total Price List'!D679</f>
        <v>License 1Y GD MOBs 2 10+</v>
      </c>
      <c r="E44" s="132" t="str">
        <f>'Total Price List'!E679</f>
        <v>License 9 &lt; x &lt; 25</v>
      </c>
      <c r="F44" s="4" t="str">
        <f>'Total Price List'!F679</f>
        <v>License</v>
      </c>
      <c r="G44" s="132" t="str">
        <f>'Total Price List'!G679</f>
        <v>G Data MobileSecurity 2 for Android</v>
      </c>
      <c r="H44" s="132" t="str">
        <f>'Total Price List'!H679</f>
        <v>multi-user license 1 year</v>
      </c>
      <c r="I44" s="133">
        <f>'Total Price List'!I679</f>
        <v>11</v>
      </c>
      <c r="J44" s="134">
        <f>'Total Price List'!J679</f>
        <v>11</v>
      </c>
    </row>
    <row r="45" spans="1:10" ht="12" customHeight="1" x14ac:dyDescent="0.25">
      <c r="A45" s="83" t="str">
        <f>'Total Price List'!A680</f>
        <v>G Data</v>
      </c>
      <c r="B45" s="4">
        <f>'Total Price List'!B680</f>
        <v>21813</v>
      </c>
      <c r="C45" s="4"/>
      <c r="D45" s="132" t="str">
        <f>'Total Price List'!D680</f>
        <v>License 1Y GD MOBs 2 25+</v>
      </c>
      <c r="E45" s="132" t="str">
        <f>'Total Price List'!E680</f>
        <v>License 24 &lt; x &lt; 50</v>
      </c>
      <c r="F45" s="4" t="str">
        <f>'Total Price List'!F680</f>
        <v>License</v>
      </c>
      <c r="G45" s="132" t="str">
        <f>'Total Price List'!G680</f>
        <v>G Data MobileSecurity 2 for Android</v>
      </c>
      <c r="H45" s="132" t="str">
        <f>'Total Price List'!H680</f>
        <v>multi-user license 1 year</v>
      </c>
      <c r="I45" s="133">
        <f>'Total Price List'!I680</f>
        <v>10</v>
      </c>
      <c r="J45" s="134">
        <f>'Total Price List'!J680</f>
        <v>10</v>
      </c>
    </row>
    <row r="46" spans="1:10" ht="12" customHeight="1" x14ac:dyDescent="0.25">
      <c r="A46" s="83" t="str">
        <f>'Total Price List'!A681</f>
        <v>G Data</v>
      </c>
      <c r="B46" s="4">
        <f>'Total Price List'!B681</f>
        <v>21814</v>
      </c>
      <c r="C46" s="4"/>
      <c r="D46" s="132" t="str">
        <f>'Total Price List'!D681</f>
        <v>License 1Y GD MOBs 2 50+</v>
      </c>
      <c r="E46" s="132" t="str">
        <f>'Total Price List'!E681</f>
        <v>License 49 &lt; x &lt; 100</v>
      </c>
      <c r="F46" s="4" t="str">
        <f>'Total Price List'!F681</f>
        <v>License</v>
      </c>
      <c r="G46" s="132" t="str">
        <f>'Total Price List'!G681</f>
        <v>G Data MobileSecurity 2 for Android</v>
      </c>
      <c r="H46" s="132" t="str">
        <f>'Total Price List'!H681</f>
        <v>multi-user license 1 year</v>
      </c>
      <c r="I46" s="133">
        <f>'Total Price List'!I681</f>
        <v>9</v>
      </c>
      <c r="J46" s="134">
        <f>'Total Price List'!J681</f>
        <v>9</v>
      </c>
    </row>
    <row r="47" spans="1:10" ht="12" customHeight="1" thickBot="1" x14ac:dyDescent="0.3">
      <c r="A47" s="84" t="str">
        <f>'Total Price List'!A682</f>
        <v>G Data</v>
      </c>
      <c r="B47" s="24">
        <f>'Total Price List'!B682</f>
        <v>21815</v>
      </c>
      <c r="C47" s="24"/>
      <c r="D47" s="135" t="str">
        <f>'Total Price List'!D682</f>
        <v>License 1Y GD MOBs 2 100+</v>
      </c>
      <c r="E47" s="135" t="str">
        <f>'Total Price List'!E682</f>
        <v>License 100 +</v>
      </c>
      <c r="F47" s="24" t="str">
        <f>'Total Price List'!F682</f>
        <v>License</v>
      </c>
      <c r="G47" s="135" t="str">
        <f>'Total Price List'!G682</f>
        <v>G Data MobileSecurity 2 for Android</v>
      </c>
      <c r="H47" s="135" t="str">
        <f>'Total Price List'!H682</f>
        <v>multi-user license 1 year</v>
      </c>
      <c r="I47" s="612">
        <f>'Total Price List'!I682</f>
        <v>7.5</v>
      </c>
      <c r="J47" s="613">
        <f>'Total Price List'!J682</f>
        <v>7.5</v>
      </c>
    </row>
    <row r="48" spans="1:10" s="112" customFormat="1" ht="12" customHeight="1" x14ac:dyDescent="0.25">
      <c r="A48" s="609" t="str">
        <f>'Total Price List'!A683</f>
        <v>G Data MobileSecurity2 multi-user license renewal</v>
      </c>
      <c r="B48" s="610"/>
      <c r="C48" s="610"/>
      <c r="D48" s="610"/>
      <c r="E48" s="610"/>
      <c r="F48" s="610"/>
      <c r="G48" s="610"/>
      <c r="H48" s="610"/>
      <c r="I48" s="610"/>
      <c r="J48" s="611"/>
    </row>
    <row r="49" spans="1:10" ht="12" customHeight="1" x14ac:dyDescent="0.25">
      <c r="A49" s="604" t="str">
        <f>'Total Price List'!A684</f>
        <v>G Data</v>
      </c>
      <c r="B49" s="602">
        <f>'Total Price List'!B684</f>
        <v>21861</v>
      </c>
      <c r="C49" s="602"/>
      <c r="D49" s="596" t="str">
        <f>'Total Price List'!D684</f>
        <v>Renewal 1Y GD MOBs 2 -9</v>
      </c>
      <c r="E49" s="596" t="str">
        <f>'Total Price List'!E684</f>
        <v>Renewal 1 &lt; x &lt; 10</v>
      </c>
      <c r="F49" s="602" t="str">
        <f>'Total Price List'!F684</f>
        <v>Renewal</v>
      </c>
      <c r="G49" s="596" t="str">
        <f>'Total Price List'!G684</f>
        <v>G Data MobileSecurity 2 for Android</v>
      </c>
      <c r="H49" s="596" t="str">
        <f>'Total Price List'!H684</f>
        <v>multi-user license renewal 1 year</v>
      </c>
      <c r="I49" s="614">
        <f>'Total Price List'!I684</f>
        <v>9.3800000000000008</v>
      </c>
      <c r="J49" s="615">
        <f>'Total Price List'!J684</f>
        <v>9.3800000000000008</v>
      </c>
    </row>
    <row r="50" spans="1:10" ht="12" customHeight="1" x14ac:dyDescent="0.25">
      <c r="A50" s="604" t="str">
        <f>'Total Price List'!A685</f>
        <v>G Data</v>
      </c>
      <c r="B50" s="602">
        <f>'Total Price List'!B685</f>
        <v>21862</v>
      </c>
      <c r="C50" s="602"/>
      <c r="D50" s="596" t="str">
        <f>'Total Price List'!D685</f>
        <v>Renewal 1Y GD MOBs 2 10+</v>
      </c>
      <c r="E50" s="596" t="str">
        <f>'Total Price List'!E685</f>
        <v>Renewal 9 &lt; x &lt; 25</v>
      </c>
      <c r="F50" s="602" t="str">
        <f>'Total Price List'!F685</f>
        <v>Renewal</v>
      </c>
      <c r="G50" s="596" t="str">
        <f>'Total Price List'!G685</f>
        <v>G Data MobileSecurity 2 for Android</v>
      </c>
      <c r="H50" s="596" t="str">
        <f>'Total Price List'!H685</f>
        <v>multi-user license renewal 1 year</v>
      </c>
      <c r="I50" s="614">
        <f>'Total Price List'!I685</f>
        <v>8.25</v>
      </c>
      <c r="J50" s="615">
        <f>'Total Price List'!J685</f>
        <v>8.25</v>
      </c>
    </row>
    <row r="51" spans="1:10" ht="12" customHeight="1" x14ac:dyDescent="0.25">
      <c r="A51" s="604" t="str">
        <f>'Total Price List'!A686</f>
        <v>G Data</v>
      </c>
      <c r="B51" s="602">
        <f>'Total Price List'!B686</f>
        <v>21863</v>
      </c>
      <c r="C51" s="602"/>
      <c r="D51" s="596" t="str">
        <f>'Total Price List'!D686</f>
        <v>Renewal 1Y GD MOBs 2 25+</v>
      </c>
      <c r="E51" s="596" t="str">
        <f>'Total Price List'!E686</f>
        <v>Renewal 24 &lt; x &lt; 50</v>
      </c>
      <c r="F51" s="602" t="str">
        <f>'Total Price List'!F686</f>
        <v>Renewal</v>
      </c>
      <c r="G51" s="596" t="str">
        <f>'Total Price List'!G686</f>
        <v>G Data MobileSecurity 2 for Android</v>
      </c>
      <c r="H51" s="596" t="str">
        <f>'Total Price List'!H686</f>
        <v>multi-user license renewal 1 year</v>
      </c>
      <c r="I51" s="614">
        <f>'Total Price List'!I686</f>
        <v>7.5</v>
      </c>
      <c r="J51" s="615">
        <f>'Total Price List'!J686</f>
        <v>7.5</v>
      </c>
    </row>
    <row r="52" spans="1:10" ht="12" customHeight="1" x14ac:dyDescent="0.25">
      <c r="A52" s="604" t="str">
        <f>'Total Price List'!A687</f>
        <v>G Data</v>
      </c>
      <c r="B52" s="602">
        <f>'Total Price List'!B687</f>
        <v>21864</v>
      </c>
      <c r="C52" s="602"/>
      <c r="D52" s="596" t="str">
        <f>'Total Price List'!D687</f>
        <v>Renewal 1Y GD MOBs 2 50+</v>
      </c>
      <c r="E52" s="596" t="str">
        <f>'Total Price List'!E687</f>
        <v>Renewal 49 &lt; x &lt; 100</v>
      </c>
      <c r="F52" s="602" t="str">
        <f>'Total Price List'!F687</f>
        <v>Renewal</v>
      </c>
      <c r="G52" s="596" t="str">
        <f>'Total Price List'!G687</f>
        <v>G Data MobileSecurity 2 for Android</v>
      </c>
      <c r="H52" s="596" t="str">
        <f>'Total Price List'!H687</f>
        <v>multi-user license renewal 1 year</v>
      </c>
      <c r="I52" s="614">
        <f>'Total Price List'!I687</f>
        <v>6.75</v>
      </c>
      <c r="J52" s="615">
        <f>'Total Price List'!J687</f>
        <v>6.75</v>
      </c>
    </row>
    <row r="53" spans="1:10" ht="12" customHeight="1" thickBot="1" x14ac:dyDescent="0.3">
      <c r="A53" s="605" t="str">
        <f>'Total Price List'!A688</f>
        <v>G Data</v>
      </c>
      <c r="B53" s="603">
        <f>'Total Price List'!B688</f>
        <v>21865</v>
      </c>
      <c r="C53" s="603"/>
      <c r="D53" s="597" t="str">
        <f>'Total Price List'!D688</f>
        <v>Renewal 1Y GD MOBs 2 100+</v>
      </c>
      <c r="E53" s="597" t="str">
        <f>'Total Price List'!E688</f>
        <v>Renewal 100 +</v>
      </c>
      <c r="F53" s="603" t="str">
        <f>'Total Price List'!F688</f>
        <v>Renewal</v>
      </c>
      <c r="G53" s="597" t="str">
        <f>'Total Price List'!G688</f>
        <v>G Data MobileSecurity 2 for Android</v>
      </c>
      <c r="H53" s="597" t="str">
        <f>'Total Price List'!H688</f>
        <v>multi-user license renewal 1 year</v>
      </c>
      <c r="I53" s="616">
        <f>'Total Price List'!I688</f>
        <v>5.5</v>
      </c>
      <c r="J53" s="617">
        <f>'Total Price List'!J688</f>
        <v>5.5</v>
      </c>
    </row>
    <row r="54" spans="1:10" ht="12" customHeight="1" thickBot="1" x14ac:dyDescent="0.3"/>
    <row r="55" spans="1:10" s="854" customFormat="1" ht="12" customHeight="1" x14ac:dyDescent="0.2">
      <c r="A55" s="632" t="s">
        <v>934</v>
      </c>
      <c r="B55" s="633"/>
      <c r="C55" s="633"/>
      <c r="D55" s="633"/>
      <c r="E55" s="633"/>
      <c r="F55" s="634"/>
      <c r="G55" s="633"/>
      <c r="H55" s="633"/>
      <c r="I55" s="633"/>
      <c r="J55" s="635"/>
    </row>
    <row r="56" spans="1:10" s="854" customFormat="1" ht="12" customHeight="1" x14ac:dyDescent="0.2">
      <c r="A56" s="636" t="s">
        <v>941</v>
      </c>
      <c r="B56" s="637"/>
      <c r="C56" s="637"/>
      <c r="D56" s="637"/>
      <c r="E56" s="637"/>
      <c r="F56" s="638"/>
      <c r="G56" s="637"/>
      <c r="H56" s="637"/>
      <c r="I56" s="637"/>
      <c r="J56" s="639"/>
    </row>
    <row r="57" spans="1:10" s="854" customFormat="1" ht="12" customHeight="1" x14ac:dyDescent="0.2">
      <c r="A57" s="636" t="s">
        <v>943</v>
      </c>
      <c r="B57" s="640"/>
      <c r="C57" s="640"/>
      <c r="D57" s="640"/>
      <c r="E57" s="640"/>
      <c r="F57" s="640"/>
      <c r="G57" s="640"/>
      <c r="H57" s="640"/>
      <c r="I57" s="640"/>
      <c r="J57" s="641"/>
    </row>
    <row r="58" spans="1:10" s="854" customFormat="1" ht="12" customHeight="1" x14ac:dyDescent="0.2">
      <c r="A58" s="636" t="s">
        <v>944</v>
      </c>
      <c r="B58" s="640"/>
      <c r="C58" s="640"/>
      <c r="D58" s="640"/>
      <c r="E58" s="640"/>
      <c r="F58" s="640"/>
      <c r="G58" s="640"/>
      <c r="H58" s="640"/>
      <c r="I58" s="640"/>
      <c r="J58" s="641"/>
    </row>
    <row r="59" spans="1:10" s="854" customFormat="1" ht="12" customHeight="1" thickBot="1" x14ac:dyDescent="0.25">
      <c r="A59" s="642" t="s">
        <v>945</v>
      </c>
      <c r="B59" s="643"/>
      <c r="C59" s="643"/>
      <c r="D59" s="643"/>
      <c r="E59" s="643"/>
      <c r="F59" s="643"/>
      <c r="G59" s="643"/>
      <c r="H59" s="643"/>
      <c r="I59" s="643"/>
      <c r="J59" s="644"/>
    </row>
    <row r="60" spans="1:10" ht="12" customHeight="1" x14ac:dyDescent="0.25"/>
    <row r="61" spans="1:10" ht="12" customHeight="1" x14ac:dyDescent="0.25"/>
    <row r="62" spans="1:10" ht="12" customHeight="1" x14ac:dyDescent="0.25"/>
    <row r="63" spans="1:10" ht="12" customHeight="1" x14ac:dyDescent="0.25"/>
    <row r="64" spans="1:10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</sheetData>
  <sheetProtection algorithmName="SHA-512" hashValue="2/XhbuppuurtxylcdOc1Y6tTpN1Ja3Tiu1JRB48VksYPrgcuQt9OxafKFuE6FMJYBLjmQSctptuVDCcisOCNRQ==" saltValue="xnXXTcydjuytOIKlfzUmJA==" spinCount="100000" sheet="1" objects="1" scenarios="1" formatColumns="0"/>
  <autoFilter ref="A3:I3"/>
  <mergeCells count="1">
    <mergeCell ref="G1:I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4" tint="0.39997558519241921"/>
  </sheetPr>
  <dimension ref="A1:K201"/>
  <sheetViews>
    <sheetView showGridLines="0" workbookViewId="0">
      <pane ySplit="3" topLeftCell="A106" activePane="bottomLeft" state="frozenSplit"/>
      <selection pane="bottomLeft" activeCell="N27" sqref="N27"/>
    </sheetView>
  </sheetViews>
  <sheetFormatPr baseColWidth="10" defaultRowHeight="15" x14ac:dyDescent="0.25"/>
  <cols>
    <col min="1" max="1" width="9.85546875" style="69" bestFit="1" customWidth="1"/>
    <col min="2" max="2" width="13.5703125" style="69" bestFit="1" customWidth="1"/>
    <col min="3" max="3" width="5.85546875" bestFit="1" customWidth="1"/>
    <col min="4" max="4" width="24.28515625" bestFit="1" customWidth="1"/>
    <col min="5" max="5" width="15.28515625" bestFit="1" customWidth="1"/>
    <col min="6" max="6" width="7.28515625" style="69" bestFit="1" customWidth="1"/>
    <col min="7" max="7" width="40.85546875" bestFit="1" customWidth="1"/>
    <col min="8" max="8" width="40" bestFit="1" customWidth="1"/>
    <col min="9" max="9" width="12.42578125" style="63" bestFit="1" customWidth="1"/>
    <col min="10" max="10" width="10.7109375" style="63" bestFit="1" customWidth="1"/>
  </cols>
  <sheetData>
    <row r="1" spans="1:10" ht="18.75" x14ac:dyDescent="0.3">
      <c r="A1" s="878" t="s">
        <v>804</v>
      </c>
      <c r="B1" s="878"/>
      <c r="C1" s="878"/>
      <c r="D1" s="878"/>
      <c r="E1" s="878"/>
      <c r="F1" s="879"/>
      <c r="G1" s="879"/>
      <c r="H1" s="45"/>
      <c r="I1" s="45"/>
      <c r="J1" s="45"/>
    </row>
    <row r="2" spans="1:10" ht="15.75" thickBot="1" x14ac:dyDescent="0.3">
      <c r="F2" s="288"/>
    </row>
    <row r="3" spans="1:10" ht="36.75" thickBot="1" x14ac:dyDescent="0.3">
      <c r="A3" s="583" t="s">
        <v>743</v>
      </c>
      <c r="B3" s="584" t="s">
        <v>744</v>
      </c>
      <c r="C3" s="584" t="s">
        <v>449</v>
      </c>
      <c r="D3" s="584" t="s">
        <v>745</v>
      </c>
      <c r="E3" s="584" t="s">
        <v>938</v>
      </c>
      <c r="F3" s="584" t="s">
        <v>939</v>
      </c>
      <c r="G3" s="584" t="s">
        <v>748</v>
      </c>
      <c r="H3" s="584" t="s">
        <v>749</v>
      </c>
      <c r="I3" s="585" t="s">
        <v>750</v>
      </c>
      <c r="J3" s="586" t="s">
        <v>751</v>
      </c>
    </row>
    <row r="4" spans="1:10" ht="12" customHeight="1" x14ac:dyDescent="0.25">
      <c r="A4" s="108" t="str">
        <f>'Total Price List'!A420</f>
        <v>G Data network license upgrade</v>
      </c>
      <c r="B4" s="108"/>
      <c r="C4" s="108"/>
      <c r="D4" s="108"/>
      <c r="E4" s="108"/>
      <c r="F4" s="108"/>
      <c r="G4" s="108"/>
      <c r="H4" s="108"/>
      <c r="I4" s="108"/>
      <c r="J4" s="109"/>
    </row>
    <row r="5" spans="1:10" ht="12" customHeight="1" x14ac:dyDescent="0.25">
      <c r="A5" s="83" t="str">
        <f>'Total Price List'!A421</f>
        <v>G Data</v>
      </c>
      <c r="B5" s="4">
        <f>'Total Price List'!B421</f>
        <v>28601</v>
      </c>
      <c r="C5" s="3"/>
      <c r="D5" s="3" t="str">
        <f>'Total Price List'!D421</f>
        <v>Upgrade GD AVB-CSB</v>
      </c>
      <c r="E5" s="3" t="str">
        <f>'Total Price List'!E421</f>
        <v>Upgrade License</v>
      </c>
      <c r="F5" s="4" t="str">
        <f>'Total Price List'!F421</f>
        <v>License</v>
      </c>
      <c r="G5" s="3" t="str">
        <f>'Total Price List'!G421</f>
        <v>G Data ClientSecurity Business</v>
      </c>
      <c r="H5" s="3" t="str">
        <f>'Total Price List'!H421</f>
        <v>Upgrade GD AV BUS -&gt; GD Client Security Business</v>
      </c>
      <c r="I5" s="64">
        <f>'Total Price List'!I421</f>
        <v>10.38</v>
      </c>
      <c r="J5" s="65">
        <f>'Total Price List'!J421</f>
        <v>10.38</v>
      </c>
    </row>
    <row r="6" spans="1:10" ht="12" customHeight="1" x14ac:dyDescent="0.25">
      <c r="A6" s="83" t="str">
        <f>'Total Price List'!A422</f>
        <v>G Data</v>
      </c>
      <c r="B6" s="4">
        <f>'Total Price List'!B422</f>
        <v>28602</v>
      </c>
      <c r="C6" s="3"/>
      <c r="D6" s="3" t="str">
        <f>'Total Price List'!D422</f>
        <v>Upgrade GD AVB-EPB</v>
      </c>
      <c r="E6" s="3" t="str">
        <f>'Total Price List'!E422</f>
        <v>Upgrade License</v>
      </c>
      <c r="F6" s="4" t="str">
        <f>'Total Price List'!F422</f>
        <v>License</v>
      </c>
      <c r="G6" s="3" t="str">
        <f>'Total Price List'!G422</f>
        <v>G Data EndpointProtection Business</v>
      </c>
      <c r="H6" s="3" t="str">
        <f>'Total Price List'!H422</f>
        <v>Upgrade GD AV BUS -&gt; GD EndpointProtection Business</v>
      </c>
      <c r="I6" s="64">
        <f>'Total Price List'!I422</f>
        <v>15.46</v>
      </c>
      <c r="J6" s="65">
        <f>'Total Price List'!J422</f>
        <v>15.46</v>
      </c>
    </row>
    <row r="7" spans="1:10" ht="12" customHeight="1" x14ac:dyDescent="0.25">
      <c r="A7" s="83" t="str">
        <f>'Total Price List'!A423</f>
        <v>G Data</v>
      </c>
      <c r="B7" s="4">
        <f>'Total Price List'!B423</f>
        <v>28603</v>
      </c>
      <c r="C7" s="3"/>
      <c r="D7" s="3" t="str">
        <f>'Total Price List'!D423</f>
        <v>Upgrade GD AVB-AVE</v>
      </c>
      <c r="E7" s="3" t="str">
        <f>'Total Price List'!E423</f>
        <v>Upgrade License</v>
      </c>
      <c r="F7" s="4" t="str">
        <f>'Total Price List'!F423</f>
        <v>License</v>
      </c>
      <c r="G7" s="3" t="str">
        <f>'Total Price List'!G423</f>
        <v xml:space="preserve">G Data AntiVirus Business </v>
      </c>
      <c r="H7" s="3" t="str">
        <f>'Total Price List'!H423</f>
        <v>Upgrade GD AV BUS -&gt; GD AntiVirus + MailSecurity + Backup</v>
      </c>
      <c r="I7" s="64">
        <f>'Total Price List'!I423</f>
        <v>13.62</v>
      </c>
      <c r="J7" s="65">
        <f>'Total Price List'!J423</f>
        <v>13.62</v>
      </c>
    </row>
    <row r="8" spans="1:10" ht="12" customHeight="1" x14ac:dyDescent="0.25">
      <c r="A8" s="83" t="str">
        <f>'Total Price List'!A424</f>
        <v>G Data</v>
      </c>
      <c r="B8" s="4">
        <f>'Total Price List'!B424</f>
        <v>28604</v>
      </c>
      <c r="C8" s="3"/>
      <c r="D8" s="3" t="str">
        <f>'Total Price List'!D424</f>
        <v>Upgrade GD AVB-CSE</v>
      </c>
      <c r="E8" s="3" t="str">
        <f>'Total Price List'!E424</f>
        <v>Upgrade License</v>
      </c>
      <c r="F8" s="4" t="str">
        <f>'Total Price List'!F424</f>
        <v>License</v>
      </c>
      <c r="G8" s="3" t="str">
        <f>'Total Price List'!G424</f>
        <v>G Data ClientSecurity + MailSecurity + Backup</v>
      </c>
      <c r="H8" s="3" t="str">
        <f>'Total Price List'!H424</f>
        <v>Upgrade GD AV BUS -&gt; GD Client Security + MailSecurity + Backup</v>
      </c>
      <c r="I8" s="64">
        <f>'Total Price List'!I424</f>
        <v>19.55</v>
      </c>
      <c r="J8" s="65">
        <f>'Total Price List'!J424</f>
        <v>19.55</v>
      </c>
    </row>
    <row r="9" spans="1:10" ht="12" customHeight="1" x14ac:dyDescent="0.25">
      <c r="A9" s="83" t="str">
        <f>'Total Price List'!A425</f>
        <v>G Data</v>
      </c>
      <c r="B9" s="4">
        <f>'Total Price List'!B425</f>
        <v>28605</v>
      </c>
      <c r="C9" s="3"/>
      <c r="D9" s="3" t="str">
        <f>'Total Price List'!D425</f>
        <v>Upgrade GD AVB-EPE</v>
      </c>
      <c r="E9" s="3" t="str">
        <f>'Total Price List'!E425</f>
        <v>Upgrade License</v>
      </c>
      <c r="F9" s="4" t="str">
        <f>'Total Price List'!F425</f>
        <v>License</v>
      </c>
      <c r="G9" s="3" t="str">
        <f>'Total Price List'!G425</f>
        <v>G Data EndpointProtection + MailSecurity + Backup</v>
      </c>
      <c r="H9" s="3" t="str">
        <f>'Total Price List'!H425</f>
        <v>Upgrade GD AV BUS -&gt; GD EndpointProtection + MailSecurity + Backup</v>
      </c>
      <c r="I9" s="64">
        <f>'Total Price List'!I425</f>
        <v>24.8</v>
      </c>
      <c r="J9" s="65">
        <f>'Total Price List'!J425</f>
        <v>24.8</v>
      </c>
    </row>
    <row r="10" spans="1:10" ht="12" customHeight="1" x14ac:dyDescent="0.25">
      <c r="A10" s="83" t="str">
        <f>'Total Price List'!A426</f>
        <v>G Data</v>
      </c>
      <c r="B10" s="4">
        <f>'Total Price List'!B426</f>
        <v>28606</v>
      </c>
      <c r="C10" s="3"/>
      <c r="D10" s="3" t="str">
        <f>'Total Price List'!D426</f>
        <v>Upgrade GD CSB-EPB</v>
      </c>
      <c r="E10" s="3" t="str">
        <f>'Total Price List'!E426</f>
        <v>Upgrade License</v>
      </c>
      <c r="F10" s="4" t="str">
        <f>'Total Price List'!F426</f>
        <v>License</v>
      </c>
      <c r="G10" s="3" t="str">
        <f>'Total Price List'!G426</f>
        <v>G Data EndpointProtection Business</v>
      </c>
      <c r="H10" s="3" t="str">
        <f>'Total Price List'!H426</f>
        <v>Upgrade GD CS BUS -&gt; GD EndpointProtection Business</v>
      </c>
      <c r="I10" s="64">
        <f>'Total Price List'!I426</f>
        <v>12.64</v>
      </c>
      <c r="J10" s="65">
        <f>'Total Price List'!J426</f>
        <v>12.64</v>
      </c>
    </row>
    <row r="11" spans="1:10" ht="12" customHeight="1" x14ac:dyDescent="0.25">
      <c r="A11" s="83" t="str">
        <f>'Total Price List'!A427</f>
        <v>G Data</v>
      </c>
      <c r="B11" s="4">
        <f>'Total Price List'!B427</f>
        <v>28607</v>
      </c>
      <c r="C11" s="3"/>
      <c r="D11" s="3" t="str">
        <f>'Total Price List'!D427</f>
        <v>Upgrade GD CSB-CSE</v>
      </c>
      <c r="E11" s="3" t="str">
        <f>'Total Price List'!E427</f>
        <v>Upgrade License</v>
      </c>
      <c r="F11" s="4" t="str">
        <f>'Total Price List'!F427</f>
        <v>License</v>
      </c>
      <c r="G11" s="3" t="str">
        <f>'Total Price List'!G427</f>
        <v>G Data ClientSecurity + MailSecurity + Backup</v>
      </c>
      <c r="H11" s="3" t="str">
        <f>'Total Price List'!H427</f>
        <v>Upgrade GD CS BUS -&gt; GD Client Security + MailSecurity + Backup</v>
      </c>
      <c r="I11" s="64">
        <f>'Total Price List'!I427</f>
        <v>13.62</v>
      </c>
      <c r="J11" s="65">
        <f>'Total Price List'!J427</f>
        <v>13.62</v>
      </c>
    </row>
    <row r="12" spans="1:10" ht="12" customHeight="1" x14ac:dyDescent="0.25">
      <c r="A12" s="83" t="str">
        <f>'Total Price List'!A428</f>
        <v>G Data</v>
      </c>
      <c r="B12" s="4">
        <f>'Total Price List'!B428</f>
        <v>28608</v>
      </c>
      <c r="C12" s="3"/>
      <c r="D12" s="3" t="str">
        <f>'Total Price List'!D428</f>
        <v>Upgrade GD CSB-EPE</v>
      </c>
      <c r="E12" s="3" t="str">
        <f>'Total Price List'!E428</f>
        <v>Upgrade License</v>
      </c>
      <c r="F12" s="4" t="str">
        <f>'Total Price List'!F428</f>
        <v>License</v>
      </c>
      <c r="G12" s="3" t="str">
        <f>'Total Price List'!G428</f>
        <v>G Data EndpointProtection + MailSecurity + Backup</v>
      </c>
      <c r="H12" s="3" t="str">
        <f>'Total Price List'!H428</f>
        <v>Upgrade GD CS BUS -&gt; GD EndpointProtection + MailSecurity + Backup</v>
      </c>
      <c r="I12" s="64">
        <f>'Total Price List'!I428</f>
        <v>20.92</v>
      </c>
      <c r="J12" s="65">
        <f>'Total Price List'!J428</f>
        <v>20.92</v>
      </c>
    </row>
    <row r="13" spans="1:10" ht="12" customHeight="1" x14ac:dyDescent="0.25">
      <c r="A13" s="83" t="str">
        <f>'Total Price List'!A429</f>
        <v>G Data</v>
      </c>
      <c r="B13" s="4">
        <f>'Total Price List'!B429</f>
        <v>28609</v>
      </c>
      <c r="C13" s="3"/>
      <c r="D13" s="3" t="str">
        <f>'Total Price List'!D429</f>
        <v>Upgrade GD EPB-EPE</v>
      </c>
      <c r="E13" s="3" t="str">
        <f>'Total Price List'!E429</f>
        <v>Upgrade License</v>
      </c>
      <c r="F13" s="4" t="str">
        <f>'Total Price List'!F429</f>
        <v>License</v>
      </c>
      <c r="G13" s="3" t="str">
        <f>'Total Price List'!G429</f>
        <v>G Data EndpointProtection + MailSecurity + Backup</v>
      </c>
      <c r="H13" s="3" t="str">
        <f>'Total Price List'!H429</f>
        <v>Upgrade GD EP BUS -&gt; GD EndpointProtection + MailSecurity + Backup</v>
      </c>
      <c r="I13" s="64">
        <f>'Total Price List'!I429</f>
        <v>13.62</v>
      </c>
      <c r="J13" s="65">
        <f>'Total Price List'!J429</f>
        <v>13.62</v>
      </c>
    </row>
    <row r="14" spans="1:10" ht="12" customHeight="1" x14ac:dyDescent="0.25">
      <c r="A14" s="83" t="str">
        <f>'Total Price List'!A430</f>
        <v>G Data</v>
      </c>
      <c r="B14" s="4">
        <f>'Total Price List'!B430</f>
        <v>28610</v>
      </c>
      <c r="C14" s="3"/>
      <c r="D14" s="3" t="str">
        <f>'Total Price List'!D430</f>
        <v>Upgrade GD AVE-CSB</v>
      </c>
      <c r="E14" s="3" t="str">
        <f>'Total Price List'!E430</f>
        <v>Upgrade License</v>
      </c>
      <c r="F14" s="4" t="str">
        <f>'Total Price List'!F430</f>
        <v>License</v>
      </c>
      <c r="G14" s="3" t="str">
        <f>'Total Price List'!G430</f>
        <v>G Data ClientSecurity Business</v>
      </c>
      <c r="H14" s="3" t="str">
        <f>'Total Price List'!H430</f>
        <v>Upgrade GD AV ENT -&gt; GD Client Security Business</v>
      </c>
      <c r="I14" s="64">
        <f>'Total Price List'!I430</f>
        <v>5.88</v>
      </c>
      <c r="J14" s="65">
        <f>'Total Price List'!J430</f>
        <v>5.88</v>
      </c>
    </row>
    <row r="15" spans="1:10" ht="12" customHeight="1" x14ac:dyDescent="0.25">
      <c r="A15" s="83" t="str">
        <f>'Total Price List'!A431</f>
        <v>G Data</v>
      </c>
      <c r="B15" s="4">
        <f>'Total Price List'!B431</f>
        <v>28611</v>
      </c>
      <c r="C15" s="3"/>
      <c r="D15" s="3" t="str">
        <f>'Total Price List'!D431</f>
        <v>Upgrade GD AVE-CSE</v>
      </c>
      <c r="E15" s="3" t="str">
        <f>'Total Price List'!E431</f>
        <v>Upgrade License</v>
      </c>
      <c r="F15" s="4" t="str">
        <f>'Total Price List'!F431</f>
        <v>License</v>
      </c>
      <c r="G15" s="3" t="str">
        <f>'Total Price List'!G431</f>
        <v>G Data ClientSecurity + MailSecurity + Backup</v>
      </c>
      <c r="H15" s="3" t="str">
        <f>'Total Price List'!H431</f>
        <v>Upgrade GD AV ENT -&gt; GD ClientSecurity + MailSecurity + Backup</v>
      </c>
      <c r="I15" s="64">
        <f>'Total Price List'!I431</f>
        <v>10.38</v>
      </c>
      <c r="J15" s="65">
        <f>'Total Price List'!J431</f>
        <v>10.38</v>
      </c>
    </row>
    <row r="16" spans="1:10" ht="12" customHeight="1" x14ac:dyDescent="0.25">
      <c r="A16" s="83" t="str">
        <f>'Total Price List'!A432</f>
        <v>G Data</v>
      </c>
      <c r="B16" s="4">
        <f>'Total Price List'!B432</f>
        <v>28612</v>
      </c>
      <c r="C16" s="3"/>
      <c r="D16" s="3" t="str">
        <f>'Total Price List'!D432</f>
        <v>Upgrade GD AVE-EPB</v>
      </c>
      <c r="E16" s="3" t="str">
        <f>'Total Price List'!E432</f>
        <v>Upgrade License</v>
      </c>
      <c r="F16" s="4" t="str">
        <f>'Total Price List'!F432</f>
        <v>License</v>
      </c>
      <c r="G16" s="3" t="str">
        <f>'Total Price List'!G432</f>
        <v>G Data EndpointProtection Business</v>
      </c>
      <c r="H16" s="3" t="str">
        <f>'Total Price List'!H432</f>
        <v>Upgrade GD AV ENT -&gt; GDEndpointProtection Business</v>
      </c>
      <c r="I16" s="64">
        <f>'Total Price List'!I432</f>
        <v>7.2</v>
      </c>
      <c r="J16" s="65">
        <f>'Total Price List'!J432</f>
        <v>7.2</v>
      </c>
    </row>
    <row r="17" spans="1:11" ht="12" customHeight="1" x14ac:dyDescent="0.25">
      <c r="A17" s="83" t="str">
        <f>'Total Price List'!A433</f>
        <v>G Data</v>
      </c>
      <c r="B17" s="4">
        <f>'Total Price List'!B433</f>
        <v>28613</v>
      </c>
      <c r="C17" s="3"/>
      <c r="D17" s="3" t="str">
        <f>'Total Price List'!D433</f>
        <v>Upgrade GD AVE-EPE</v>
      </c>
      <c r="E17" s="3" t="str">
        <f>'Total Price List'!E433</f>
        <v>Upgrade License</v>
      </c>
      <c r="F17" s="4" t="str">
        <f>'Total Price List'!F433</f>
        <v>License</v>
      </c>
      <c r="G17" s="3" t="str">
        <f>'Total Price List'!G433</f>
        <v>G Data EndpointProtection + MailSecurity + Backup</v>
      </c>
      <c r="H17" s="3" t="str">
        <f>'Total Price List'!H433</f>
        <v>Upgrade GD AV ENT -&gt; GD EndpointProtection + MailSecurity + Backup</v>
      </c>
      <c r="I17" s="64">
        <f>'Total Price List'!I433</f>
        <v>16.079999999999998</v>
      </c>
      <c r="J17" s="65">
        <f>'Total Price List'!J433</f>
        <v>16.079999999999998</v>
      </c>
    </row>
    <row r="18" spans="1:11" ht="12" customHeight="1" x14ac:dyDescent="0.25">
      <c r="A18" s="83" t="str">
        <f>'Total Price List'!A434</f>
        <v>G Data</v>
      </c>
      <c r="B18" s="4">
        <f>'Total Price List'!B434</f>
        <v>28614</v>
      </c>
      <c r="C18" s="3"/>
      <c r="D18" s="3" t="str">
        <f>'Total Price List'!D434</f>
        <v>Upgrade GD CSE-EPB</v>
      </c>
      <c r="E18" s="3" t="str">
        <f>'Total Price List'!E434</f>
        <v>Upgrade License</v>
      </c>
      <c r="F18" s="4" t="str">
        <f>'Total Price List'!F434</f>
        <v>License</v>
      </c>
      <c r="G18" s="3" t="str">
        <f>'Total Price List'!G434</f>
        <v>G Data EndpointProtection Business</v>
      </c>
      <c r="H18" s="3" t="str">
        <f>'Total Price List'!H434</f>
        <v>Upgrade GD CS ENT -&gt; GD EndpointProtection Business</v>
      </c>
      <c r="I18" s="64">
        <f>'Total Price List'!I434</f>
        <v>5.88</v>
      </c>
      <c r="J18" s="65">
        <f>'Total Price List'!J434</f>
        <v>5.88</v>
      </c>
    </row>
    <row r="19" spans="1:11" ht="12" customHeight="1" thickBot="1" x14ac:dyDescent="0.3">
      <c r="A19" s="84" t="str">
        <f>'Total Price List'!A435</f>
        <v>G Data</v>
      </c>
      <c r="B19" s="24">
        <f>'Total Price List'!B435</f>
        <v>28615</v>
      </c>
      <c r="C19" s="25"/>
      <c r="D19" s="25" t="str">
        <f>'Total Price List'!D435</f>
        <v>Upgrade GD CSE-EPE</v>
      </c>
      <c r="E19" s="25" t="str">
        <f>'Total Price List'!E435</f>
        <v>Upgrade License</v>
      </c>
      <c r="F19" s="24" t="str">
        <f>'Total Price List'!F435</f>
        <v>License</v>
      </c>
      <c r="G19" s="25" t="str">
        <f>'Total Price List'!G435</f>
        <v>G Data EndpointProtection + MailSecurity + Backup</v>
      </c>
      <c r="H19" s="25" t="str">
        <f>'Total Price List'!H435</f>
        <v>Upgrade GD CS ENT -&gt; GD EndpointProtection + MailSecurity + Backup</v>
      </c>
      <c r="I19" s="66">
        <f>'Total Price List'!I435</f>
        <v>11.56</v>
      </c>
      <c r="J19" s="67">
        <f>'Total Price List'!J435</f>
        <v>11.56</v>
      </c>
    </row>
    <row r="20" spans="1:11" ht="12" customHeight="1" x14ac:dyDescent="0.25">
      <c r="A20" s="108" t="str">
        <f>'Total Price List'!A436</f>
        <v>G Data Crossgrade AntiVirus Business network license</v>
      </c>
      <c r="B20" s="114"/>
      <c r="C20" s="114"/>
      <c r="D20" s="114"/>
      <c r="E20" s="114"/>
      <c r="F20" s="114"/>
      <c r="G20" s="114"/>
      <c r="H20" s="114"/>
      <c r="I20" s="114"/>
      <c r="J20" s="115"/>
    </row>
    <row r="21" spans="1:11" ht="12" customHeight="1" x14ac:dyDescent="0.25">
      <c r="A21" s="93" t="str">
        <f>'Total Price List'!A437</f>
        <v>G Data</v>
      </c>
      <c r="B21" s="48">
        <f>'Total Price List'!B437</f>
        <v>21211</v>
      </c>
      <c r="C21" s="49"/>
      <c r="D21" s="49" t="str">
        <f>'Total Price List'!D437</f>
        <v>Crossgrade 1Y GD AV BUS -9</v>
      </c>
      <c r="E21" s="49" t="str">
        <f>'Total Price List'!E437</f>
        <v>License 4 &lt; x &lt; 10</v>
      </c>
      <c r="F21" s="48" t="str">
        <f>'Total Price List'!F437</f>
        <v>License</v>
      </c>
      <c r="G21" s="49" t="str">
        <f>'Total Price List'!G437</f>
        <v xml:space="preserve">G Data AntiVirus Business </v>
      </c>
      <c r="H21" s="49" t="str">
        <f>'Total Price List'!H437</f>
        <v>Crossgrade network license 1 year</v>
      </c>
      <c r="I21" s="289">
        <f>'Total Price List'!I437</f>
        <v>30.400000000000002</v>
      </c>
      <c r="J21" s="290">
        <f>'Total Price List'!J437</f>
        <v>30.400000000000002</v>
      </c>
      <c r="K21" s="46"/>
    </row>
    <row r="22" spans="1:11" ht="12" customHeight="1" x14ac:dyDescent="0.25">
      <c r="A22" s="93" t="str">
        <f>'Total Price List'!A438</f>
        <v>G Data</v>
      </c>
      <c r="B22" s="48">
        <f>'Total Price List'!B438</f>
        <v>21212</v>
      </c>
      <c r="C22" s="49"/>
      <c r="D22" s="49" t="str">
        <f>'Total Price List'!D438</f>
        <v>Crossgrade 1Y GD AV BUS 10+</v>
      </c>
      <c r="E22" s="49" t="str">
        <f>'Total Price List'!E438</f>
        <v>License 9 &lt; x &lt; 25</v>
      </c>
      <c r="F22" s="48" t="str">
        <f>'Total Price List'!F438</f>
        <v>License</v>
      </c>
      <c r="G22" s="49" t="str">
        <f>'Total Price List'!G438</f>
        <v xml:space="preserve">G Data AntiVirus Business </v>
      </c>
      <c r="H22" s="49" t="str">
        <f>'Total Price List'!H438</f>
        <v>Crossgrade network license 1 year</v>
      </c>
      <c r="I22" s="289">
        <f>'Total Price List'!I438</f>
        <v>20</v>
      </c>
      <c r="J22" s="290">
        <f>'Total Price List'!J438</f>
        <v>20</v>
      </c>
      <c r="K22" s="46"/>
    </row>
    <row r="23" spans="1:11" ht="12" customHeight="1" x14ac:dyDescent="0.25">
      <c r="A23" s="93" t="str">
        <f>'Total Price List'!A439</f>
        <v>G Data</v>
      </c>
      <c r="B23" s="48">
        <f>'Total Price List'!B439</f>
        <v>21213</v>
      </c>
      <c r="C23" s="49"/>
      <c r="D23" s="49" t="str">
        <f>'Total Price List'!D439</f>
        <v>Crossgrade 1Y GD AV BUS 25+</v>
      </c>
      <c r="E23" s="49" t="str">
        <f>'Total Price List'!E439</f>
        <v>License 24 &lt; x &lt; 50</v>
      </c>
      <c r="F23" s="48" t="str">
        <f>'Total Price List'!F439</f>
        <v>License</v>
      </c>
      <c r="G23" s="49" t="str">
        <f>'Total Price List'!G439</f>
        <v xml:space="preserve">G Data AntiVirus Business </v>
      </c>
      <c r="H23" s="49" t="str">
        <f>'Total Price List'!H439</f>
        <v>Crossgrade network license 1 year</v>
      </c>
      <c r="I23" s="289">
        <f>'Total Price List'!I439</f>
        <v>15.200000000000001</v>
      </c>
      <c r="J23" s="290">
        <f>'Total Price List'!J439</f>
        <v>15.200000000000001</v>
      </c>
      <c r="K23" s="46"/>
    </row>
    <row r="24" spans="1:11" ht="12" customHeight="1" x14ac:dyDescent="0.25">
      <c r="A24" s="93" t="str">
        <f>'Total Price List'!A440</f>
        <v>G Data</v>
      </c>
      <c r="B24" s="48">
        <f>'Total Price List'!B440</f>
        <v>21214</v>
      </c>
      <c r="C24" s="49"/>
      <c r="D24" s="49" t="str">
        <f>'Total Price List'!D440</f>
        <v>Crossgrade 1Y GD AV BUS 50+</v>
      </c>
      <c r="E24" s="49" t="str">
        <f>'Total Price List'!E440</f>
        <v>License 49 &lt; x &lt; 100</v>
      </c>
      <c r="F24" s="48" t="str">
        <f>'Total Price List'!F440</f>
        <v>License</v>
      </c>
      <c r="G24" s="49" t="str">
        <f>'Total Price List'!G440</f>
        <v xml:space="preserve">G Data AntiVirus Business </v>
      </c>
      <c r="H24" s="49" t="str">
        <f>'Total Price List'!H440</f>
        <v>Crossgrade network license 1 year</v>
      </c>
      <c r="I24" s="289">
        <f>'Total Price List'!I440</f>
        <v>13.600000000000001</v>
      </c>
      <c r="J24" s="290">
        <f>'Total Price List'!J440</f>
        <v>13.600000000000001</v>
      </c>
      <c r="K24" s="46"/>
    </row>
    <row r="25" spans="1:11" ht="12" customHeight="1" x14ac:dyDescent="0.25">
      <c r="A25" s="93" t="str">
        <f>'Total Price List'!A441</f>
        <v>G Data</v>
      </c>
      <c r="B25" s="48">
        <f>'Total Price List'!B441</f>
        <v>21215</v>
      </c>
      <c r="C25" s="49"/>
      <c r="D25" s="49" t="str">
        <f>'Total Price List'!D441</f>
        <v>Crossgrade 1Y GD AV BUS 100+</v>
      </c>
      <c r="E25" s="49" t="str">
        <f>'Total Price List'!E441</f>
        <v>License 99 &lt; x &lt; 250</v>
      </c>
      <c r="F25" s="48" t="str">
        <f>'Total Price List'!F441</f>
        <v>License</v>
      </c>
      <c r="G25" s="49" t="str">
        <f>'Total Price List'!G441</f>
        <v xml:space="preserve">G Data AntiVirus Business </v>
      </c>
      <c r="H25" s="49" t="str">
        <f>'Total Price List'!H441</f>
        <v>Crossgrade network license 1 year</v>
      </c>
      <c r="I25" s="289">
        <f>'Total Price List'!I441</f>
        <v>11.200000000000001</v>
      </c>
      <c r="J25" s="290">
        <f>'Total Price List'!J441</f>
        <v>11.200000000000001</v>
      </c>
    </row>
    <row r="26" spans="1:11" ht="12" customHeight="1" x14ac:dyDescent="0.25">
      <c r="A26" s="93" t="str">
        <f>'Total Price List'!A442</f>
        <v>G Data</v>
      </c>
      <c r="B26" s="48">
        <f>'Total Price List'!B442</f>
        <v>21216</v>
      </c>
      <c r="C26" s="49"/>
      <c r="D26" s="49" t="str">
        <f>'Total Price List'!D442</f>
        <v>Crossgrade 1Y GD AV BUS 250+</v>
      </c>
      <c r="E26" s="49" t="str">
        <f>'Total Price List'!E442</f>
        <v>License 249 &lt; x &lt; 499</v>
      </c>
      <c r="F26" s="48" t="str">
        <f>'Total Price List'!F442</f>
        <v>License</v>
      </c>
      <c r="G26" s="49" t="str">
        <f>'Total Price List'!G442</f>
        <v xml:space="preserve">G Data AntiVirus Business </v>
      </c>
      <c r="H26" s="49" t="str">
        <f>'Total Price List'!H442</f>
        <v>Crossgrade network license 1 year</v>
      </c>
      <c r="I26" s="289">
        <f>'Total Price List'!I442</f>
        <v>9.6000000000000014</v>
      </c>
      <c r="J26" s="290">
        <f>'Total Price List'!J442</f>
        <v>9.6000000000000014</v>
      </c>
    </row>
    <row r="27" spans="1:11" ht="12" customHeight="1" x14ac:dyDescent="0.25">
      <c r="A27" s="93" t="str">
        <f>'Total Price List'!A443</f>
        <v>G Data</v>
      </c>
      <c r="B27" s="48">
        <f>'Total Price List'!B443</f>
        <v>21217</v>
      </c>
      <c r="C27" s="49"/>
      <c r="D27" s="49" t="str">
        <f>'Total Price List'!D443</f>
        <v>Crossgrade 1Y GD AV BUS 500+</v>
      </c>
      <c r="E27" s="49" t="str">
        <f>'Total Price List'!E443</f>
        <v>License 499 &lt; x &lt; 1000</v>
      </c>
      <c r="F27" s="48" t="str">
        <f>'Total Price List'!F443</f>
        <v>License</v>
      </c>
      <c r="G27" s="49" t="str">
        <f>'Total Price List'!G443</f>
        <v xml:space="preserve">G Data AntiVirus Business </v>
      </c>
      <c r="H27" s="49" t="str">
        <f>'Total Price List'!H443</f>
        <v>Crossgrade network license 1 year</v>
      </c>
      <c r="I27" s="289">
        <f>'Total Price List'!I443</f>
        <v>8</v>
      </c>
      <c r="J27" s="290">
        <f>'Total Price List'!J443</f>
        <v>8</v>
      </c>
    </row>
    <row r="28" spans="1:11" ht="12" customHeight="1" x14ac:dyDescent="0.25">
      <c r="A28" s="93" t="str">
        <f>'Total Price List'!A444</f>
        <v>G Data</v>
      </c>
      <c r="B28" s="48">
        <f>'Total Price List'!B444</f>
        <v>21218</v>
      </c>
      <c r="C28" s="49"/>
      <c r="D28" s="49" t="str">
        <f>'Total Price List'!D444</f>
        <v>Crossgrade 1Y GD AV BUS 1000+</v>
      </c>
      <c r="E28" s="49" t="str">
        <f>'Total Price List'!E444</f>
        <v>License 999 &lt; x &lt; 2500</v>
      </c>
      <c r="F28" s="48" t="str">
        <f>'Total Price List'!F444</f>
        <v>License</v>
      </c>
      <c r="G28" s="49" t="str">
        <f>'Total Price List'!G444</f>
        <v xml:space="preserve">G Data AntiVirus Business </v>
      </c>
      <c r="H28" s="49" t="str">
        <f>'Total Price List'!H444</f>
        <v>Crossgrade network license 1 year</v>
      </c>
      <c r="I28" s="289">
        <f>'Total Price List'!I444</f>
        <v>7.2</v>
      </c>
      <c r="J28" s="290">
        <f>'Total Price List'!J444</f>
        <v>7.2</v>
      </c>
    </row>
    <row r="29" spans="1:11" ht="12" customHeight="1" x14ac:dyDescent="0.25">
      <c r="A29" s="93" t="str">
        <f>'Total Price List'!A445</f>
        <v>G Data</v>
      </c>
      <c r="B29" s="48">
        <f>'Total Price List'!B445</f>
        <v>21221</v>
      </c>
      <c r="C29" s="49"/>
      <c r="D29" s="49" t="str">
        <f>'Total Price List'!D445</f>
        <v>Crossgrade 2Y GD AV BUS -9</v>
      </c>
      <c r="E29" s="49" t="str">
        <f>'Total Price List'!E445</f>
        <v>License 4 &lt; x &lt; 10</v>
      </c>
      <c r="F29" s="48" t="str">
        <f>'Total Price List'!F445</f>
        <v>License</v>
      </c>
      <c r="G29" s="49" t="str">
        <f>'Total Price List'!G445</f>
        <v xml:space="preserve">G Data AntiVirus Business </v>
      </c>
      <c r="H29" s="49" t="str">
        <f>'Total Price List'!H445</f>
        <v>Crossgrade network license 2 years</v>
      </c>
      <c r="I29" s="289">
        <f>'Total Price List'!I445</f>
        <v>47.400000000000006</v>
      </c>
      <c r="J29" s="290">
        <f>'Total Price List'!J445</f>
        <v>47.400000000000006</v>
      </c>
      <c r="K29" s="46"/>
    </row>
    <row r="30" spans="1:11" ht="12" customHeight="1" x14ac:dyDescent="0.25">
      <c r="A30" s="93" t="str">
        <f>'Total Price List'!A446</f>
        <v>G Data</v>
      </c>
      <c r="B30" s="48">
        <f>'Total Price List'!B446</f>
        <v>21222</v>
      </c>
      <c r="C30" s="49"/>
      <c r="D30" s="49" t="str">
        <f>'Total Price List'!D446</f>
        <v>Crossgrade 2Y GD AV BUS 10+</v>
      </c>
      <c r="E30" s="49" t="str">
        <f>'Total Price List'!E446</f>
        <v>License 9 &lt; x &lt; 25</v>
      </c>
      <c r="F30" s="48" t="str">
        <f>'Total Price List'!F446</f>
        <v>License</v>
      </c>
      <c r="G30" s="49" t="str">
        <f>'Total Price List'!G446</f>
        <v xml:space="preserve">G Data AntiVirus Business </v>
      </c>
      <c r="H30" s="49" t="str">
        <f>'Total Price List'!H446</f>
        <v>Crossgrade network license 2 years</v>
      </c>
      <c r="I30" s="289">
        <f>'Total Price List'!I446</f>
        <v>36.660000000000004</v>
      </c>
      <c r="J30" s="290">
        <f>'Total Price List'!J446</f>
        <v>36.660000000000004</v>
      </c>
      <c r="K30" s="46"/>
    </row>
    <row r="31" spans="1:11" ht="12" customHeight="1" x14ac:dyDescent="0.25">
      <c r="A31" s="93" t="str">
        <f>'Total Price List'!A447</f>
        <v>G Data</v>
      </c>
      <c r="B31" s="48">
        <f>'Total Price List'!B447</f>
        <v>21223</v>
      </c>
      <c r="C31" s="49"/>
      <c r="D31" s="49" t="str">
        <f>'Total Price List'!D447</f>
        <v>Crossgrade 2Y GD AV BUS 25+</v>
      </c>
      <c r="E31" s="49" t="str">
        <f>'Total Price List'!E447</f>
        <v>License 24 &lt; x &lt; 50</v>
      </c>
      <c r="F31" s="48" t="str">
        <f>'Total Price List'!F447</f>
        <v>License</v>
      </c>
      <c r="G31" s="49" t="str">
        <f>'Total Price List'!G447</f>
        <v xml:space="preserve">G Data AntiVirus Business </v>
      </c>
      <c r="H31" s="49" t="str">
        <f>'Total Price List'!H447</f>
        <v>Crossgrade network license 2 years</v>
      </c>
      <c r="I31" s="289">
        <f>'Total Price List'!I447</f>
        <v>29.208000000000006</v>
      </c>
      <c r="J31" s="290">
        <f>'Total Price List'!J447</f>
        <v>29.208000000000006</v>
      </c>
      <c r="K31" s="46"/>
    </row>
    <row r="32" spans="1:11" ht="12" customHeight="1" x14ac:dyDescent="0.25">
      <c r="A32" s="93" t="str">
        <f>'Total Price List'!A448</f>
        <v>G Data</v>
      </c>
      <c r="B32" s="48">
        <f>'Total Price List'!B448</f>
        <v>21224</v>
      </c>
      <c r="C32" s="49"/>
      <c r="D32" s="49" t="str">
        <f>'Total Price List'!D448</f>
        <v>Crossgrade 2Y GD AV BUS 50+</v>
      </c>
      <c r="E32" s="49" t="str">
        <f>'Total Price List'!E448</f>
        <v>License 49 &lt; x &lt; 100</v>
      </c>
      <c r="F32" s="48" t="str">
        <f>'Total Price List'!F448</f>
        <v>License</v>
      </c>
      <c r="G32" s="49" t="str">
        <f>'Total Price List'!G448</f>
        <v xml:space="preserve">G Data AntiVirus Business </v>
      </c>
      <c r="H32" s="49" t="str">
        <f>'Total Price List'!H448</f>
        <v>Crossgrade network license 2 years</v>
      </c>
      <c r="I32" s="289">
        <f>'Total Price List'!I448</f>
        <v>26.724000000000004</v>
      </c>
      <c r="J32" s="290">
        <f>'Total Price List'!J448</f>
        <v>26.724000000000004</v>
      </c>
      <c r="K32" s="46"/>
    </row>
    <row r="33" spans="1:11" ht="12" customHeight="1" x14ac:dyDescent="0.25">
      <c r="A33" s="93" t="str">
        <f>'Total Price List'!A449</f>
        <v>G Data</v>
      </c>
      <c r="B33" s="48">
        <f>'Total Price List'!B449</f>
        <v>21225</v>
      </c>
      <c r="C33" s="49"/>
      <c r="D33" s="49" t="str">
        <f>'Total Price List'!D449</f>
        <v>Crossgrade 2Y GD AV BUS 100+</v>
      </c>
      <c r="E33" s="49" t="str">
        <f>'Total Price List'!E449</f>
        <v>License 99 &lt; x &lt; 250</v>
      </c>
      <c r="F33" s="48" t="str">
        <f>'Total Price List'!F449</f>
        <v>License</v>
      </c>
      <c r="G33" s="49" t="str">
        <f>'Total Price List'!G449</f>
        <v xml:space="preserve">G Data AntiVirus Business </v>
      </c>
      <c r="H33" s="49" t="str">
        <f>'Total Price List'!H449</f>
        <v>Crossgrade network license 2 years</v>
      </c>
      <c r="I33" s="289">
        <f>'Total Price List'!I449</f>
        <v>21.842000000000002</v>
      </c>
      <c r="J33" s="290">
        <f>'Total Price List'!J449</f>
        <v>21.842000000000002</v>
      </c>
    </row>
    <row r="34" spans="1:11" ht="12" customHeight="1" x14ac:dyDescent="0.25">
      <c r="A34" s="93" t="str">
        <f>'Total Price List'!A450</f>
        <v>G Data</v>
      </c>
      <c r="B34" s="48">
        <f>'Total Price List'!B450</f>
        <v>21226</v>
      </c>
      <c r="C34" s="49"/>
      <c r="D34" s="49" t="str">
        <f>'Total Price List'!D450</f>
        <v>Crossgrade 2Y GD AV BUS 250+</v>
      </c>
      <c r="E34" s="49" t="str">
        <f>'Total Price List'!E450</f>
        <v>License 249 &lt; x &lt; 499</v>
      </c>
      <c r="F34" s="48" t="str">
        <f>'Total Price List'!F450</f>
        <v>License</v>
      </c>
      <c r="G34" s="49" t="str">
        <f>'Total Price List'!G450</f>
        <v xml:space="preserve">G Data AntiVirus Business </v>
      </c>
      <c r="H34" s="49" t="str">
        <f>'Total Price List'!H450</f>
        <v>Crossgrade network license 2 years</v>
      </c>
      <c r="I34" s="289">
        <f>'Total Price List'!I450</f>
        <v>17.936800000000002</v>
      </c>
      <c r="J34" s="290">
        <f>'Total Price List'!J450</f>
        <v>17.936800000000002</v>
      </c>
    </row>
    <row r="35" spans="1:11" ht="12" customHeight="1" x14ac:dyDescent="0.25">
      <c r="A35" s="93" t="str">
        <f>'Total Price List'!A451</f>
        <v>G Data</v>
      </c>
      <c r="B35" s="48">
        <f>'Total Price List'!B451</f>
        <v>21227</v>
      </c>
      <c r="C35" s="49"/>
      <c r="D35" s="49" t="str">
        <f>'Total Price List'!D451</f>
        <v>Crossgrade 2Y GD AV BUS 500+</v>
      </c>
      <c r="E35" s="49" t="str">
        <f>'Total Price List'!E451</f>
        <v>License 499 &lt; x &lt; 1000</v>
      </c>
      <c r="F35" s="48" t="str">
        <f>'Total Price List'!F451</f>
        <v>License</v>
      </c>
      <c r="G35" s="49" t="str">
        <f>'Total Price List'!G451</f>
        <v xml:space="preserve">G Data AntiVirus Business </v>
      </c>
      <c r="H35" s="49" t="str">
        <f>'Total Price List'!H451</f>
        <v>Crossgrade network license 2 years</v>
      </c>
      <c r="I35" s="289">
        <f>'Total Price List'!I451</f>
        <v>15.228400000000001</v>
      </c>
      <c r="J35" s="290">
        <f>'Total Price List'!J451</f>
        <v>15.228400000000001</v>
      </c>
    </row>
    <row r="36" spans="1:11" ht="12" customHeight="1" x14ac:dyDescent="0.25">
      <c r="A36" s="93" t="str">
        <f>'Total Price List'!A452</f>
        <v>G Data</v>
      </c>
      <c r="B36" s="48">
        <f>'Total Price List'!B452</f>
        <v>21228</v>
      </c>
      <c r="C36" s="49"/>
      <c r="D36" s="49" t="str">
        <f>'Total Price List'!D452</f>
        <v>Crossgrade 2Y GD AV BUS 1000+</v>
      </c>
      <c r="E36" s="49" t="str">
        <f>'Total Price List'!E452</f>
        <v>License 999 &lt; x &lt; 2500</v>
      </c>
      <c r="F36" s="48" t="str">
        <f>'Total Price List'!F452</f>
        <v>License</v>
      </c>
      <c r="G36" s="49" t="str">
        <f>'Total Price List'!G452</f>
        <v xml:space="preserve">G Data AntiVirus Business </v>
      </c>
      <c r="H36" s="49" t="str">
        <f>'Total Price List'!H452</f>
        <v>Crossgrade network license 2 years</v>
      </c>
      <c r="I36" s="289">
        <f>'Total Price List'!I452</f>
        <v>13.388</v>
      </c>
      <c r="J36" s="290">
        <f>'Total Price List'!J452</f>
        <v>13.388</v>
      </c>
    </row>
    <row r="37" spans="1:11" ht="12" customHeight="1" x14ac:dyDescent="0.25">
      <c r="A37" s="93" t="str">
        <f>'Total Price List'!A453</f>
        <v>G Data</v>
      </c>
      <c r="B37" s="48">
        <f>'Total Price List'!B453</f>
        <v>21231</v>
      </c>
      <c r="C37" s="49"/>
      <c r="D37" s="49" t="str">
        <f>'Total Price List'!D453</f>
        <v>Crossgrade 3Y GD AV BUS -9</v>
      </c>
      <c r="E37" s="49" t="str">
        <f>'Total Price List'!E453</f>
        <v>License 4 &lt; x &lt; 10</v>
      </c>
      <c r="F37" s="48" t="str">
        <f>'Total Price List'!F453</f>
        <v>License</v>
      </c>
      <c r="G37" s="49" t="str">
        <f>'Total Price List'!G453</f>
        <v xml:space="preserve">G Data AntiVirus Business </v>
      </c>
      <c r="H37" s="49" t="str">
        <f>'Total Price List'!H453</f>
        <v>Crossgrade network license 3 years</v>
      </c>
      <c r="I37" s="289">
        <f>'Total Price List'!I453</f>
        <v>60.150000000000006</v>
      </c>
      <c r="J37" s="290">
        <f>'Total Price List'!J453</f>
        <v>60.150000000000006</v>
      </c>
      <c r="K37" s="46"/>
    </row>
    <row r="38" spans="1:11" ht="12" customHeight="1" x14ac:dyDescent="0.25">
      <c r="A38" s="93" t="str">
        <f>'Total Price List'!A454</f>
        <v>G Data</v>
      </c>
      <c r="B38" s="48">
        <f>'Total Price List'!B454</f>
        <v>21232</v>
      </c>
      <c r="C38" s="49"/>
      <c r="D38" s="49" t="str">
        <f>'Total Price List'!D454</f>
        <v>Crossgrade 3Y GD AV BUS 10+</v>
      </c>
      <c r="E38" s="49" t="str">
        <f>'Total Price List'!E454</f>
        <v>License 9 &lt; x &lt; 25</v>
      </c>
      <c r="F38" s="48" t="str">
        <f>'Total Price List'!F454</f>
        <v>License</v>
      </c>
      <c r="G38" s="49" t="str">
        <f>'Total Price List'!G454</f>
        <v xml:space="preserve">G Data AntiVirus Business </v>
      </c>
      <c r="H38" s="49" t="str">
        <f>'Total Price List'!H454</f>
        <v>Crossgrade network license 3 years</v>
      </c>
      <c r="I38" s="289">
        <f>'Total Price List'!I454</f>
        <v>49.155000000000001</v>
      </c>
      <c r="J38" s="290">
        <f>'Total Price List'!J454</f>
        <v>49.155000000000001</v>
      </c>
      <c r="K38" s="46"/>
    </row>
    <row r="39" spans="1:11" ht="12" customHeight="1" x14ac:dyDescent="0.25">
      <c r="A39" s="93" t="str">
        <f>'Total Price List'!A455</f>
        <v>G Data</v>
      </c>
      <c r="B39" s="48">
        <f>'Total Price List'!B455</f>
        <v>21233</v>
      </c>
      <c r="C39" s="49"/>
      <c r="D39" s="49" t="str">
        <f>'Total Price List'!D455</f>
        <v>Crossgrade 3Y GD AV BUS 25+</v>
      </c>
      <c r="E39" s="49" t="str">
        <f>'Total Price List'!E455</f>
        <v>License 24 &lt; x &lt; 50</v>
      </c>
      <c r="F39" s="48" t="str">
        <f>'Total Price List'!F455</f>
        <v>License</v>
      </c>
      <c r="G39" s="49" t="str">
        <f>'Total Price List'!G455</f>
        <v xml:space="preserve">G Data AntiVirus Business </v>
      </c>
      <c r="H39" s="49" t="str">
        <f>'Total Price List'!H455</f>
        <v>Crossgrade network license 3 years</v>
      </c>
      <c r="I39" s="289">
        <f>'Total Price List'!I455</f>
        <v>39.713999999999999</v>
      </c>
      <c r="J39" s="290">
        <f>'Total Price List'!J455</f>
        <v>39.713999999999999</v>
      </c>
      <c r="K39" s="46"/>
    </row>
    <row r="40" spans="1:11" ht="12" customHeight="1" x14ac:dyDescent="0.25">
      <c r="A40" s="93" t="str">
        <f>'Total Price List'!A456</f>
        <v>G Data</v>
      </c>
      <c r="B40" s="48">
        <f>'Total Price List'!B456</f>
        <v>21234</v>
      </c>
      <c r="C40" s="49"/>
      <c r="D40" s="49" t="str">
        <f>'Total Price List'!D456</f>
        <v>Crossgrade 3Y GD AV BUS 50+</v>
      </c>
      <c r="E40" s="49" t="str">
        <f>'Total Price List'!E456</f>
        <v>License 49 &lt; x &lt; 100</v>
      </c>
      <c r="F40" s="48" t="str">
        <f>'Total Price List'!F456</f>
        <v>License</v>
      </c>
      <c r="G40" s="49" t="str">
        <f>'Total Price List'!G456</f>
        <v xml:space="preserve">G Data AntiVirus Business </v>
      </c>
      <c r="H40" s="49" t="str">
        <f>'Total Price List'!H456</f>
        <v>Crossgrade network license 3 years</v>
      </c>
      <c r="I40" s="289">
        <f>'Total Price List'!I456</f>
        <v>36.567</v>
      </c>
      <c r="J40" s="290">
        <f>'Total Price List'!J456</f>
        <v>36.567</v>
      </c>
      <c r="K40" s="46"/>
    </row>
    <row r="41" spans="1:11" ht="12" customHeight="1" x14ac:dyDescent="0.25">
      <c r="A41" s="93" t="str">
        <f>'Total Price List'!A457</f>
        <v>G Data</v>
      </c>
      <c r="B41" s="48">
        <f>'Total Price List'!B457</f>
        <v>21235</v>
      </c>
      <c r="C41" s="49"/>
      <c r="D41" s="49" t="str">
        <f>'Total Price List'!D457</f>
        <v>Crossgrade 3Y GD AV BUS 100+</v>
      </c>
      <c r="E41" s="49" t="str">
        <f>'Total Price List'!E457</f>
        <v>License 99 &lt; x &lt; 250</v>
      </c>
      <c r="F41" s="48" t="str">
        <f>'Total Price List'!F457</f>
        <v>License</v>
      </c>
      <c r="G41" s="49" t="str">
        <f>'Total Price List'!G457</f>
        <v xml:space="preserve">G Data AntiVirus Business </v>
      </c>
      <c r="H41" s="49" t="str">
        <f>'Total Price List'!H457</f>
        <v>Crossgrade network license 3 years</v>
      </c>
      <c r="I41" s="289">
        <f>'Total Price List'!I457</f>
        <v>29.823500000000003</v>
      </c>
      <c r="J41" s="290">
        <f>'Total Price List'!J457</f>
        <v>29.823500000000003</v>
      </c>
    </row>
    <row r="42" spans="1:11" ht="12" customHeight="1" x14ac:dyDescent="0.25">
      <c r="A42" s="93" t="str">
        <f>'Total Price List'!A458</f>
        <v>G Data</v>
      </c>
      <c r="B42" s="48">
        <f>'Total Price List'!B458</f>
        <v>21236</v>
      </c>
      <c r="C42" s="49"/>
      <c r="D42" s="49" t="str">
        <f>'Total Price List'!D458</f>
        <v>Crossgrade 3Y GD AV BUS 250+</v>
      </c>
      <c r="E42" s="49" t="str">
        <f>'Total Price List'!E458</f>
        <v>License 249 &lt; x &lt; 499</v>
      </c>
      <c r="F42" s="48" t="str">
        <f>'Total Price List'!F458</f>
        <v>License</v>
      </c>
      <c r="G42" s="49" t="str">
        <f>'Total Price List'!G458</f>
        <v xml:space="preserve">G Data AntiVirus Business </v>
      </c>
      <c r="H42" s="49" t="str">
        <f>'Total Price List'!H458</f>
        <v>Crossgrade network license 3 years</v>
      </c>
      <c r="I42" s="289">
        <f>'Total Price List'!I458</f>
        <v>24.189399999999999</v>
      </c>
      <c r="J42" s="290">
        <f>'Total Price List'!J458</f>
        <v>24.189399999999999</v>
      </c>
    </row>
    <row r="43" spans="1:11" ht="12" customHeight="1" x14ac:dyDescent="0.25">
      <c r="A43" s="93" t="str">
        <f>'Total Price List'!A459</f>
        <v>G Data</v>
      </c>
      <c r="B43" s="48">
        <f>'Total Price List'!B459</f>
        <v>21237</v>
      </c>
      <c r="C43" s="49"/>
      <c r="D43" s="49" t="str">
        <f>'Total Price List'!D459</f>
        <v>Crossgrade 3Y GD AV BUS 500+</v>
      </c>
      <c r="E43" s="49" t="str">
        <f>'Total Price List'!E459</f>
        <v>License 499 &lt; x &lt; 1000</v>
      </c>
      <c r="F43" s="48" t="str">
        <f>'Total Price List'!F459</f>
        <v>License</v>
      </c>
      <c r="G43" s="49" t="str">
        <f>'Total Price List'!G459</f>
        <v xml:space="preserve">G Data AntiVirus Business </v>
      </c>
      <c r="H43" s="49" t="str">
        <f>'Total Price List'!H459</f>
        <v>Crossgrade network license 3 years</v>
      </c>
      <c r="I43" s="289">
        <f>'Total Price List'!I459</f>
        <v>20.649700000000003</v>
      </c>
      <c r="J43" s="290">
        <f>'Total Price List'!J459</f>
        <v>20.649700000000003</v>
      </c>
    </row>
    <row r="44" spans="1:11" ht="12" customHeight="1" thickBot="1" x14ac:dyDescent="0.3">
      <c r="A44" s="121" t="str">
        <f>'Total Price List'!A460</f>
        <v>G Data</v>
      </c>
      <c r="B44" s="122">
        <f>'Total Price List'!B460</f>
        <v>21238</v>
      </c>
      <c r="C44" s="124"/>
      <c r="D44" s="124" t="str">
        <f>'Total Price List'!D460</f>
        <v>Crossgrade 3Y GD AV BUS 1000+</v>
      </c>
      <c r="E44" s="124" t="str">
        <f>'Total Price List'!E460</f>
        <v>License 999 &lt; x &lt; 2500</v>
      </c>
      <c r="F44" s="122" t="str">
        <f>'Total Price List'!F460</f>
        <v>License</v>
      </c>
      <c r="G44" s="124" t="str">
        <f>'Total Price List'!G460</f>
        <v xml:space="preserve">G Data AntiVirus Business </v>
      </c>
      <c r="H44" s="124" t="str">
        <f>'Total Price List'!H460</f>
        <v>Crossgrade network license 3 years</v>
      </c>
      <c r="I44" s="291">
        <f>'Total Price List'!I460</f>
        <v>18.692</v>
      </c>
      <c r="J44" s="292">
        <f>'Total Price List'!J460</f>
        <v>18.692</v>
      </c>
    </row>
    <row r="45" spans="1:11" ht="12" customHeight="1" x14ac:dyDescent="0.25">
      <c r="A45" s="114" t="str">
        <f>'Total Price List'!A461</f>
        <v>G Data Crossgrade AntiVirus + MailSecurity + Backup network license</v>
      </c>
      <c r="B45" s="114"/>
      <c r="C45" s="114"/>
      <c r="D45" s="114"/>
      <c r="E45" s="114"/>
      <c r="F45" s="114"/>
      <c r="G45" s="114"/>
      <c r="H45" s="114"/>
      <c r="I45" s="114"/>
      <c r="J45" s="115"/>
    </row>
    <row r="46" spans="1:11" ht="12" customHeight="1" x14ac:dyDescent="0.25">
      <c r="A46" s="93" t="str">
        <f>'Total Price List'!A462</f>
        <v>G Data</v>
      </c>
      <c r="B46" s="48">
        <f>'Total Price List'!B462</f>
        <v>21311</v>
      </c>
      <c r="C46" s="49"/>
      <c r="D46" s="49" t="str">
        <f>'Total Price List'!D462</f>
        <v>Crossgrade 1Y GD AV ENT -9</v>
      </c>
      <c r="E46" s="49" t="str">
        <f>'Total Price List'!E462</f>
        <v>License 4 &lt; x &lt; 10</v>
      </c>
      <c r="F46" s="48" t="str">
        <f>'Total Price List'!F462</f>
        <v>License</v>
      </c>
      <c r="G46" s="49" t="str">
        <f>'Total Price List'!G462</f>
        <v>G Data AntiVirus + MailSecurity + Backup</v>
      </c>
      <c r="H46" s="49" t="str">
        <f>'Total Price List'!H462</f>
        <v>Crossgrade network license 1 year</v>
      </c>
      <c r="I46" s="289">
        <f>'Total Price List'!I462</f>
        <v>36.480000000000004</v>
      </c>
      <c r="J46" s="290">
        <f>'Total Price List'!J462</f>
        <v>36.480000000000004</v>
      </c>
      <c r="K46" s="46"/>
    </row>
    <row r="47" spans="1:11" ht="12" customHeight="1" x14ac:dyDescent="0.25">
      <c r="A47" s="93" t="str">
        <f>'Total Price List'!A463</f>
        <v>G Data</v>
      </c>
      <c r="B47" s="48">
        <f>'Total Price List'!B463</f>
        <v>21312</v>
      </c>
      <c r="C47" s="49"/>
      <c r="D47" s="49" t="str">
        <f>'Total Price List'!D463</f>
        <v>Crossgrade 1Y GD AV ENT 10+</v>
      </c>
      <c r="E47" s="49" t="str">
        <f>'Total Price List'!E463</f>
        <v>License 9 &lt; x &lt; 25</v>
      </c>
      <c r="F47" s="48" t="str">
        <f>'Total Price List'!F463</f>
        <v>License</v>
      </c>
      <c r="G47" s="49" t="str">
        <f>'Total Price List'!G463</f>
        <v>G Data AntiVirus + MailSecurity + Backup</v>
      </c>
      <c r="H47" s="49" t="str">
        <f>'Total Price List'!H463</f>
        <v>Crossgrade network license 1 year</v>
      </c>
      <c r="I47" s="289">
        <f>'Total Price List'!I463</f>
        <v>24</v>
      </c>
      <c r="J47" s="290">
        <f>'Total Price List'!J463</f>
        <v>24</v>
      </c>
      <c r="K47" s="46"/>
    </row>
    <row r="48" spans="1:11" ht="12" customHeight="1" x14ac:dyDescent="0.25">
      <c r="A48" s="93" t="str">
        <f>'Total Price List'!A464</f>
        <v>G Data</v>
      </c>
      <c r="B48" s="48">
        <f>'Total Price List'!B464</f>
        <v>21313</v>
      </c>
      <c r="C48" s="49"/>
      <c r="D48" s="49" t="str">
        <f>'Total Price List'!D464</f>
        <v>Crossgrade 1Y GD AV ENT 25+</v>
      </c>
      <c r="E48" s="49" t="str">
        <f>'Total Price List'!E464</f>
        <v>License 24 &lt; x &lt; 50</v>
      </c>
      <c r="F48" s="48" t="str">
        <f>'Total Price List'!F464</f>
        <v>License</v>
      </c>
      <c r="G48" s="49" t="str">
        <f>'Total Price List'!G464</f>
        <v>G Data AntiVirus + MailSecurity + Backup</v>
      </c>
      <c r="H48" s="49" t="str">
        <f>'Total Price List'!H464</f>
        <v>Crossgrade network license 1 year</v>
      </c>
      <c r="I48" s="289">
        <f>'Total Price List'!I464</f>
        <v>18.240000000000002</v>
      </c>
      <c r="J48" s="290">
        <f>'Total Price List'!J464</f>
        <v>18.240000000000002</v>
      </c>
      <c r="K48" s="46"/>
    </row>
    <row r="49" spans="1:11" ht="12" customHeight="1" x14ac:dyDescent="0.25">
      <c r="A49" s="93" t="str">
        <f>'Total Price List'!A465</f>
        <v>G Data</v>
      </c>
      <c r="B49" s="48">
        <f>'Total Price List'!B465</f>
        <v>21314</v>
      </c>
      <c r="C49" s="49"/>
      <c r="D49" s="49" t="str">
        <f>'Total Price List'!D465</f>
        <v>Crossgrade 1Y GD AV ENT 50+</v>
      </c>
      <c r="E49" s="49" t="str">
        <f>'Total Price List'!E465</f>
        <v>License 49 &lt; x &lt; 100</v>
      </c>
      <c r="F49" s="48" t="str">
        <f>'Total Price List'!F465</f>
        <v>License</v>
      </c>
      <c r="G49" s="49" t="str">
        <f>'Total Price List'!G465</f>
        <v>G Data AntiVirus + MailSecurity + Backup</v>
      </c>
      <c r="H49" s="49" t="str">
        <f>'Total Price List'!H465</f>
        <v>Crossgrade network license 1 year</v>
      </c>
      <c r="I49" s="289">
        <f>'Total Price List'!I465</f>
        <v>16.32</v>
      </c>
      <c r="J49" s="290">
        <f>'Total Price List'!J465</f>
        <v>16.32</v>
      </c>
      <c r="K49" s="46"/>
    </row>
    <row r="50" spans="1:11" ht="12" customHeight="1" x14ac:dyDescent="0.25">
      <c r="A50" s="93" t="str">
        <f>'Total Price List'!A466</f>
        <v>G Data</v>
      </c>
      <c r="B50" s="48">
        <f>'Total Price List'!B466</f>
        <v>21315</v>
      </c>
      <c r="C50" s="49"/>
      <c r="D50" s="49" t="str">
        <f>'Total Price List'!D466</f>
        <v>Crossgrade 1Y GD AV ENT 100+</v>
      </c>
      <c r="E50" s="49" t="str">
        <f>'Total Price List'!E466</f>
        <v>License 99 &lt; x &lt; 250</v>
      </c>
      <c r="F50" s="48" t="str">
        <f>'Total Price List'!F466</f>
        <v>License</v>
      </c>
      <c r="G50" s="49" t="str">
        <f>'Total Price List'!G466</f>
        <v>G Data AntiVirus + MailSecurity + Backup</v>
      </c>
      <c r="H50" s="49" t="str">
        <f>'Total Price List'!H466</f>
        <v>Crossgrade network license 1 year</v>
      </c>
      <c r="I50" s="289">
        <f>'Total Price List'!I466</f>
        <v>13.440000000000001</v>
      </c>
      <c r="J50" s="290">
        <f>'Total Price List'!J466</f>
        <v>13.440000000000001</v>
      </c>
    </row>
    <row r="51" spans="1:11" ht="12" customHeight="1" x14ac:dyDescent="0.25">
      <c r="A51" s="93" t="str">
        <f>'Total Price List'!A467</f>
        <v>G Data</v>
      </c>
      <c r="B51" s="48">
        <f>'Total Price List'!B467</f>
        <v>21316</v>
      </c>
      <c r="C51" s="49"/>
      <c r="D51" s="49" t="str">
        <f>'Total Price List'!D467</f>
        <v>Crossgrade 1Y GD AV ENT 250+</v>
      </c>
      <c r="E51" s="49" t="str">
        <f>'Total Price List'!E467</f>
        <v>License 249 &lt; x &lt; 499</v>
      </c>
      <c r="F51" s="48" t="str">
        <f>'Total Price List'!F467</f>
        <v>License</v>
      </c>
      <c r="G51" s="49" t="str">
        <f>'Total Price List'!G467</f>
        <v>G Data AntiVirus + MailSecurity + Backup</v>
      </c>
      <c r="H51" s="49" t="str">
        <f>'Total Price List'!H467</f>
        <v>Crossgrade network license 1 year</v>
      </c>
      <c r="I51" s="289">
        <f>'Total Price List'!I467</f>
        <v>11.52</v>
      </c>
      <c r="J51" s="290">
        <f>'Total Price List'!J467</f>
        <v>11.52</v>
      </c>
    </row>
    <row r="52" spans="1:11" ht="12" customHeight="1" x14ac:dyDescent="0.25">
      <c r="A52" s="93" t="str">
        <f>'Total Price List'!A468</f>
        <v>G Data</v>
      </c>
      <c r="B52" s="48">
        <f>'Total Price List'!B468</f>
        <v>21317</v>
      </c>
      <c r="C52" s="49"/>
      <c r="D52" s="49" t="str">
        <f>'Total Price List'!D468</f>
        <v>Crossgrade 1Y GD AV ENT 500+</v>
      </c>
      <c r="E52" s="49" t="str">
        <f>'Total Price List'!E468</f>
        <v>License 499 &lt; x &lt; 1000</v>
      </c>
      <c r="F52" s="48" t="str">
        <f>'Total Price List'!F468</f>
        <v>License</v>
      </c>
      <c r="G52" s="49" t="str">
        <f>'Total Price List'!G468</f>
        <v>G Data AntiVirus + MailSecurity + Backup</v>
      </c>
      <c r="H52" s="49" t="str">
        <f>'Total Price List'!H468</f>
        <v>Crossgrade network license 1 year</v>
      </c>
      <c r="I52" s="289">
        <f>'Total Price List'!I468</f>
        <v>9.6000000000000014</v>
      </c>
      <c r="J52" s="290">
        <f>'Total Price List'!J468</f>
        <v>9.6000000000000014</v>
      </c>
    </row>
    <row r="53" spans="1:11" ht="12" customHeight="1" x14ac:dyDescent="0.25">
      <c r="A53" s="93" t="str">
        <f>'Total Price List'!A469</f>
        <v>G Data</v>
      </c>
      <c r="B53" s="48">
        <f>'Total Price List'!B469</f>
        <v>21318</v>
      </c>
      <c r="C53" s="49"/>
      <c r="D53" s="49" t="str">
        <f>'Total Price List'!D469</f>
        <v>Crossgrade 1Y GD AV ENT 1000+</v>
      </c>
      <c r="E53" s="49" t="str">
        <f>'Total Price List'!E469</f>
        <v>License 999 &lt; x &lt; 2500</v>
      </c>
      <c r="F53" s="48" t="str">
        <f>'Total Price List'!F469</f>
        <v>License</v>
      </c>
      <c r="G53" s="49" t="str">
        <f>'Total Price List'!G469</f>
        <v>G Data AntiVirus + MailSecurity + Backup</v>
      </c>
      <c r="H53" s="49" t="str">
        <f>'Total Price List'!H469</f>
        <v>Crossgrade network license 1 year</v>
      </c>
      <c r="I53" s="289">
        <f>'Total Price List'!I469</f>
        <v>8.6399999999999988</v>
      </c>
      <c r="J53" s="290">
        <f>'Total Price List'!J469</f>
        <v>8.6399999999999988</v>
      </c>
    </row>
    <row r="54" spans="1:11" ht="12" customHeight="1" x14ac:dyDescent="0.25">
      <c r="A54" s="93" t="str">
        <f>'Total Price List'!A470</f>
        <v>G Data</v>
      </c>
      <c r="B54" s="48">
        <f>'Total Price List'!B470</f>
        <v>21321</v>
      </c>
      <c r="C54" s="49"/>
      <c r="D54" s="49" t="str">
        <f>'Total Price List'!D470</f>
        <v>Crossgrade 2Y GD AV ENT -9</v>
      </c>
      <c r="E54" s="49" t="str">
        <f>'Total Price List'!E470</f>
        <v>License 4 &lt; x &lt; 10</v>
      </c>
      <c r="F54" s="48" t="str">
        <f>'Total Price List'!F470</f>
        <v>License</v>
      </c>
      <c r="G54" s="49" t="str">
        <f>'Total Price List'!G470</f>
        <v>G Data AntiVirus + MailSecurity + Backup</v>
      </c>
      <c r="H54" s="49" t="str">
        <f>'Total Price List'!H470</f>
        <v>Crossgrade network license 2 years</v>
      </c>
      <c r="I54" s="289">
        <f>'Total Price List'!I470</f>
        <v>56.879999999999995</v>
      </c>
      <c r="J54" s="290">
        <f>'Total Price List'!J470</f>
        <v>56.879999999999995</v>
      </c>
      <c r="K54" s="46"/>
    </row>
    <row r="55" spans="1:11" ht="12" customHeight="1" x14ac:dyDescent="0.25">
      <c r="A55" s="93" t="str">
        <f>'Total Price List'!A471</f>
        <v>G Data</v>
      </c>
      <c r="B55" s="48">
        <f>'Total Price List'!B471</f>
        <v>21322</v>
      </c>
      <c r="C55" s="49"/>
      <c r="D55" s="49" t="str">
        <f>'Total Price List'!D471</f>
        <v>Crossgrade 2Y GD AV ENT 10+</v>
      </c>
      <c r="E55" s="49" t="str">
        <f>'Total Price List'!E471</f>
        <v>License 9 &lt; x &lt; 25</v>
      </c>
      <c r="F55" s="48" t="str">
        <f>'Total Price List'!F471</f>
        <v>License</v>
      </c>
      <c r="G55" s="49" t="str">
        <f>'Total Price List'!G471</f>
        <v>G Data AntiVirus + MailSecurity + Backup</v>
      </c>
      <c r="H55" s="49" t="str">
        <f>'Total Price List'!H471</f>
        <v>Crossgrade network license 2 years</v>
      </c>
      <c r="I55" s="289">
        <f>'Total Price List'!I471</f>
        <v>43.992000000000004</v>
      </c>
      <c r="J55" s="290">
        <f>'Total Price List'!J471</f>
        <v>43.992000000000004</v>
      </c>
      <c r="K55" s="46"/>
    </row>
    <row r="56" spans="1:11" ht="12" customHeight="1" x14ac:dyDescent="0.25">
      <c r="A56" s="93" t="str">
        <f>'Total Price List'!A472</f>
        <v>G Data</v>
      </c>
      <c r="B56" s="48">
        <f>'Total Price List'!B472</f>
        <v>21323</v>
      </c>
      <c r="C56" s="49"/>
      <c r="D56" s="49" t="str">
        <f>'Total Price List'!D472</f>
        <v>Crossgrade 2Y GD AV ENT 25+</v>
      </c>
      <c r="E56" s="49" t="str">
        <f>'Total Price List'!E472</f>
        <v>License 24 &lt; x &lt; 50</v>
      </c>
      <c r="F56" s="48" t="str">
        <f>'Total Price List'!F472</f>
        <v>License</v>
      </c>
      <c r="G56" s="49" t="str">
        <f>'Total Price List'!G472</f>
        <v>G Data AntiVirus + MailSecurity + Backup</v>
      </c>
      <c r="H56" s="49" t="str">
        <f>'Total Price List'!H472</f>
        <v>Crossgrade network license 2 years</v>
      </c>
      <c r="I56" s="289">
        <f>'Total Price List'!I472</f>
        <v>35.049600000000005</v>
      </c>
      <c r="J56" s="290">
        <f>'Total Price List'!J472</f>
        <v>35.049600000000005</v>
      </c>
      <c r="K56" s="46"/>
    </row>
    <row r="57" spans="1:11" ht="12" customHeight="1" x14ac:dyDescent="0.25">
      <c r="A57" s="93" t="str">
        <f>'Total Price List'!A473</f>
        <v>G Data</v>
      </c>
      <c r="B57" s="48">
        <f>'Total Price List'!B473</f>
        <v>21324</v>
      </c>
      <c r="C57" s="49"/>
      <c r="D57" s="49" t="str">
        <f>'Total Price List'!D473</f>
        <v>Crossgrade 2Y GD AV ENT 50+</v>
      </c>
      <c r="E57" s="49" t="str">
        <f>'Total Price List'!E473</f>
        <v>License 49 &lt; x &lt; 100</v>
      </c>
      <c r="F57" s="48" t="str">
        <f>'Total Price List'!F473</f>
        <v>License</v>
      </c>
      <c r="G57" s="49" t="str">
        <f>'Total Price List'!G473</f>
        <v>G Data AntiVirus + MailSecurity + Backup</v>
      </c>
      <c r="H57" s="49" t="str">
        <f>'Total Price List'!H473</f>
        <v>Crossgrade network license 2 years</v>
      </c>
      <c r="I57" s="289">
        <f>'Total Price List'!I473</f>
        <v>32.068800000000003</v>
      </c>
      <c r="J57" s="290">
        <f>'Total Price List'!J473</f>
        <v>32.068800000000003</v>
      </c>
      <c r="K57" s="46"/>
    </row>
    <row r="58" spans="1:11" ht="12" customHeight="1" x14ac:dyDescent="0.25">
      <c r="A58" s="93" t="str">
        <f>'Total Price List'!A474</f>
        <v>G Data</v>
      </c>
      <c r="B58" s="48">
        <f>'Total Price List'!B474</f>
        <v>21325</v>
      </c>
      <c r="C58" s="49"/>
      <c r="D58" s="49" t="str">
        <f>'Total Price List'!D474</f>
        <v>Crossgrade 2Y GD AV ENT 100+</v>
      </c>
      <c r="E58" s="49" t="str">
        <f>'Total Price List'!E474</f>
        <v>License 99 &lt; x &lt; 250</v>
      </c>
      <c r="F58" s="48" t="str">
        <f>'Total Price List'!F474</f>
        <v>License</v>
      </c>
      <c r="G58" s="49" t="str">
        <f>'Total Price List'!G474</f>
        <v>G Data AntiVirus + MailSecurity + Backup</v>
      </c>
      <c r="H58" s="49" t="str">
        <f>'Total Price List'!H474</f>
        <v>Crossgrade network license 2 years</v>
      </c>
      <c r="I58" s="289">
        <f>'Total Price List'!I474</f>
        <v>26.2104</v>
      </c>
      <c r="J58" s="290">
        <f>'Total Price List'!J474</f>
        <v>26.2104</v>
      </c>
    </row>
    <row r="59" spans="1:11" ht="12" customHeight="1" x14ac:dyDescent="0.25">
      <c r="A59" s="93" t="str">
        <f>'Total Price List'!A475</f>
        <v>G Data</v>
      </c>
      <c r="B59" s="48">
        <f>'Total Price List'!B475</f>
        <v>21326</v>
      </c>
      <c r="C59" s="49"/>
      <c r="D59" s="49" t="str">
        <f>'Total Price List'!D475</f>
        <v>Crossgrade 2Y GD AV ENT 250+</v>
      </c>
      <c r="E59" s="49" t="str">
        <f>'Total Price List'!E475</f>
        <v>License 249 &lt; x &lt; 499</v>
      </c>
      <c r="F59" s="48" t="str">
        <f>'Total Price List'!F475</f>
        <v>License</v>
      </c>
      <c r="G59" s="49" t="str">
        <f>'Total Price List'!G475</f>
        <v>G Data AntiVirus + MailSecurity + Backup</v>
      </c>
      <c r="H59" s="49" t="str">
        <f>'Total Price List'!H475</f>
        <v>Crossgrade network license 2 years</v>
      </c>
      <c r="I59" s="289">
        <f>'Total Price List'!I475</f>
        <v>21.524159999999998</v>
      </c>
      <c r="J59" s="290">
        <f>'Total Price List'!J475</f>
        <v>21.524159999999998</v>
      </c>
    </row>
    <row r="60" spans="1:11" ht="12" customHeight="1" x14ac:dyDescent="0.25">
      <c r="A60" s="93" t="str">
        <f>'Total Price List'!A476</f>
        <v>G Data</v>
      </c>
      <c r="B60" s="48">
        <f>'Total Price List'!B476</f>
        <v>21327</v>
      </c>
      <c r="C60" s="49"/>
      <c r="D60" s="49" t="str">
        <f>'Total Price List'!D476</f>
        <v>Crossgrade 2Y GD AV ENT 500+</v>
      </c>
      <c r="E60" s="49" t="str">
        <f>'Total Price List'!E476</f>
        <v>License 499 &lt; x &lt; 1000</v>
      </c>
      <c r="F60" s="48" t="str">
        <f>'Total Price List'!F476</f>
        <v>License</v>
      </c>
      <c r="G60" s="49" t="str">
        <f>'Total Price List'!G476</f>
        <v>G Data AntiVirus + MailSecurity + Backup</v>
      </c>
      <c r="H60" s="49" t="str">
        <f>'Total Price List'!H476</f>
        <v>Crossgrade network license 2 years</v>
      </c>
      <c r="I60" s="289">
        <f>'Total Price List'!I476</f>
        <v>18.274079999999998</v>
      </c>
      <c r="J60" s="290">
        <f>'Total Price List'!J476</f>
        <v>18.274079999999998</v>
      </c>
    </row>
    <row r="61" spans="1:11" ht="12" customHeight="1" x14ac:dyDescent="0.25">
      <c r="A61" s="93" t="str">
        <f>'Total Price List'!A477</f>
        <v>G Data</v>
      </c>
      <c r="B61" s="48">
        <f>'Total Price List'!B477</f>
        <v>21328</v>
      </c>
      <c r="C61" s="49"/>
      <c r="D61" s="49" t="str">
        <f>'Total Price List'!D477</f>
        <v>Crossgrade 2Y GD AV ENT 1000+</v>
      </c>
      <c r="E61" s="49" t="str">
        <f>'Total Price List'!E477</f>
        <v>License 999 &lt; x &lt; 2500</v>
      </c>
      <c r="F61" s="48" t="str">
        <f>'Total Price List'!F477</f>
        <v>License</v>
      </c>
      <c r="G61" s="49" t="str">
        <f>'Total Price List'!G477</f>
        <v>G Data AntiVirus + MailSecurity + Backup</v>
      </c>
      <c r="H61" s="49" t="str">
        <f>'Total Price List'!H477</f>
        <v>Crossgrade network license 2 years</v>
      </c>
      <c r="I61" s="289">
        <f>'Total Price List'!I477</f>
        <v>16.0656</v>
      </c>
      <c r="J61" s="290">
        <f>'Total Price List'!J477</f>
        <v>16.0656</v>
      </c>
    </row>
    <row r="62" spans="1:11" ht="12" customHeight="1" x14ac:dyDescent="0.25">
      <c r="A62" s="93" t="str">
        <f>'Total Price List'!A478</f>
        <v>G Data</v>
      </c>
      <c r="B62" s="48">
        <f>'Total Price List'!B478</f>
        <v>21331</v>
      </c>
      <c r="C62" s="49"/>
      <c r="D62" s="49" t="str">
        <f>'Total Price List'!D478</f>
        <v>Crossgrade 3Y GD AV ENT -9</v>
      </c>
      <c r="E62" s="49" t="str">
        <f>'Total Price List'!E478</f>
        <v>License 4 &lt; x &lt; 10</v>
      </c>
      <c r="F62" s="48" t="str">
        <f>'Total Price List'!F478</f>
        <v>License</v>
      </c>
      <c r="G62" s="49" t="str">
        <f>'Total Price List'!G478</f>
        <v>G Data AntiVirus + MailSecurity + Backup</v>
      </c>
      <c r="H62" s="49" t="str">
        <f>'Total Price List'!H478</f>
        <v>Crossgrade network license 3 years</v>
      </c>
      <c r="I62" s="289">
        <f>'Total Price List'!I478</f>
        <v>72.179999999999993</v>
      </c>
      <c r="J62" s="290">
        <f>'Total Price List'!J478</f>
        <v>72.179999999999993</v>
      </c>
      <c r="K62" s="46"/>
    </row>
    <row r="63" spans="1:11" ht="12" customHeight="1" x14ac:dyDescent="0.25">
      <c r="A63" s="93" t="str">
        <f>'Total Price List'!A479</f>
        <v>G Data</v>
      </c>
      <c r="B63" s="48">
        <f>'Total Price List'!B479</f>
        <v>21332</v>
      </c>
      <c r="C63" s="49"/>
      <c r="D63" s="49" t="str">
        <f>'Total Price List'!D479</f>
        <v>Crossgrade 3Y GD AV ENT 10+</v>
      </c>
      <c r="E63" s="49" t="str">
        <f>'Total Price List'!E479</f>
        <v>License 9 &lt; x &lt; 25</v>
      </c>
      <c r="F63" s="48" t="str">
        <f>'Total Price List'!F479</f>
        <v>License</v>
      </c>
      <c r="G63" s="49" t="str">
        <f>'Total Price List'!G479</f>
        <v>G Data AntiVirus + MailSecurity + Backup</v>
      </c>
      <c r="H63" s="49" t="str">
        <f>'Total Price List'!H479</f>
        <v>Crossgrade network license 3 years</v>
      </c>
      <c r="I63" s="289">
        <f>'Total Price List'!I479</f>
        <v>58.986000000000004</v>
      </c>
      <c r="J63" s="290">
        <f>'Total Price List'!J479</f>
        <v>58.986000000000004</v>
      </c>
      <c r="K63" s="46"/>
    </row>
    <row r="64" spans="1:11" ht="12" customHeight="1" x14ac:dyDescent="0.25">
      <c r="A64" s="93" t="str">
        <f>'Total Price List'!A480</f>
        <v>G Data</v>
      </c>
      <c r="B64" s="48">
        <f>'Total Price List'!B480</f>
        <v>21333</v>
      </c>
      <c r="C64" s="49"/>
      <c r="D64" s="49" t="str">
        <f>'Total Price List'!D480</f>
        <v>Crossgrade 3Y GD AV ENT 25+</v>
      </c>
      <c r="E64" s="49" t="str">
        <f>'Total Price List'!E480</f>
        <v>License 24 &lt; x &lt; 50</v>
      </c>
      <c r="F64" s="48" t="str">
        <f>'Total Price List'!F480</f>
        <v>License</v>
      </c>
      <c r="G64" s="49" t="str">
        <f>'Total Price List'!G480</f>
        <v>G Data AntiVirus + MailSecurity + Backup</v>
      </c>
      <c r="H64" s="49" t="str">
        <f>'Total Price List'!H480</f>
        <v>Crossgrade network license 3 years</v>
      </c>
      <c r="I64" s="289">
        <f>'Total Price List'!I480</f>
        <v>47.656800000000004</v>
      </c>
      <c r="J64" s="290">
        <f>'Total Price List'!J480</f>
        <v>47.656800000000004</v>
      </c>
      <c r="K64" s="46"/>
    </row>
    <row r="65" spans="1:11" ht="12" customHeight="1" x14ac:dyDescent="0.25">
      <c r="A65" s="93" t="str">
        <f>'Total Price List'!A481</f>
        <v>G Data</v>
      </c>
      <c r="B65" s="48">
        <f>'Total Price List'!B481</f>
        <v>21334</v>
      </c>
      <c r="C65" s="49"/>
      <c r="D65" s="49" t="str">
        <f>'Total Price List'!D481</f>
        <v>Crossgrade 3Y GD AV ENT 50+</v>
      </c>
      <c r="E65" s="49" t="str">
        <f>'Total Price List'!E481</f>
        <v>License 49 &lt; x &lt; 100</v>
      </c>
      <c r="F65" s="48" t="str">
        <f>'Total Price List'!F481</f>
        <v>License</v>
      </c>
      <c r="G65" s="49" t="str">
        <f>'Total Price List'!G481</f>
        <v>G Data AntiVirus + MailSecurity + Backup</v>
      </c>
      <c r="H65" s="49" t="str">
        <f>'Total Price List'!H481</f>
        <v>Crossgrade network license 3 years</v>
      </c>
      <c r="I65" s="289">
        <f>'Total Price List'!I481</f>
        <v>43.880399999999995</v>
      </c>
      <c r="J65" s="290">
        <f>'Total Price List'!J481</f>
        <v>43.880399999999995</v>
      </c>
      <c r="K65" s="46"/>
    </row>
    <row r="66" spans="1:11" ht="12" customHeight="1" x14ac:dyDescent="0.25">
      <c r="A66" s="93" t="str">
        <f>'Total Price List'!A482</f>
        <v>G Data</v>
      </c>
      <c r="B66" s="48">
        <f>'Total Price List'!B482</f>
        <v>21335</v>
      </c>
      <c r="C66" s="49"/>
      <c r="D66" s="49" t="str">
        <f>'Total Price List'!D482</f>
        <v>Crossgrade 3Y GD AV ENT 100+</v>
      </c>
      <c r="E66" s="49" t="str">
        <f>'Total Price List'!E482</f>
        <v>License 99 &lt; x &lt; 250</v>
      </c>
      <c r="F66" s="48" t="str">
        <f>'Total Price List'!F482</f>
        <v>License</v>
      </c>
      <c r="G66" s="49" t="str">
        <f>'Total Price List'!G482</f>
        <v>G Data AntiVirus + MailSecurity + Backup</v>
      </c>
      <c r="H66" s="49" t="str">
        <f>'Total Price List'!H482</f>
        <v>Crossgrade network license 3 years</v>
      </c>
      <c r="I66" s="289">
        <f>'Total Price List'!I482</f>
        <v>35.788200000000003</v>
      </c>
      <c r="J66" s="290">
        <f>'Total Price List'!J482</f>
        <v>35.788200000000003</v>
      </c>
    </row>
    <row r="67" spans="1:11" ht="12" customHeight="1" x14ac:dyDescent="0.25">
      <c r="A67" s="93" t="str">
        <f>'Total Price List'!A483</f>
        <v>G Data</v>
      </c>
      <c r="B67" s="48">
        <f>'Total Price List'!B483</f>
        <v>21336</v>
      </c>
      <c r="C67" s="49"/>
      <c r="D67" s="49" t="str">
        <f>'Total Price List'!D483</f>
        <v>Crossgrade 3Y GD AV ENT 250+</v>
      </c>
      <c r="E67" s="49" t="str">
        <f>'Total Price List'!E483</f>
        <v>License 249 &lt; x &lt; 499</v>
      </c>
      <c r="F67" s="48" t="str">
        <f>'Total Price List'!F483</f>
        <v>License</v>
      </c>
      <c r="G67" s="49" t="str">
        <f>'Total Price List'!G483</f>
        <v>G Data AntiVirus + MailSecurity + Backup</v>
      </c>
      <c r="H67" s="49" t="str">
        <f>'Total Price List'!H483</f>
        <v>Crossgrade network license 3 years</v>
      </c>
      <c r="I67" s="289">
        <f>'Total Price List'!I483</f>
        <v>29.027279999999998</v>
      </c>
      <c r="J67" s="290">
        <f>'Total Price List'!J483</f>
        <v>29.027279999999998</v>
      </c>
    </row>
    <row r="68" spans="1:11" ht="12" customHeight="1" x14ac:dyDescent="0.25">
      <c r="A68" s="93" t="str">
        <f>'Total Price List'!A484</f>
        <v>G Data</v>
      </c>
      <c r="B68" s="48">
        <f>'Total Price List'!B484</f>
        <v>21337</v>
      </c>
      <c r="C68" s="49"/>
      <c r="D68" s="49" t="str">
        <f>'Total Price List'!D484</f>
        <v>Crossgrade 3Y GD AV ENT 500+</v>
      </c>
      <c r="E68" s="49" t="str">
        <f>'Total Price List'!E484</f>
        <v>License 499 &lt; x &lt; 1000</v>
      </c>
      <c r="F68" s="48" t="str">
        <f>'Total Price List'!F484</f>
        <v>License</v>
      </c>
      <c r="G68" s="49" t="str">
        <f>'Total Price List'!G484</f>
        <v>G Data AntiVirus + MailSecurity + Backup</v>
      </c>
      <c r="H68" s="49" t="str">
        <f>'Total Price List'!H484</f>
        <v>Crossgrade network license 3 years</v>
      </c>
      <c r="I68" s="289">
        <f>'Total Price List'!I484</f>
        <v>24.779640000000001</v>
      </c>
      <c r="J68" s="290">
        <f>'Total Price List'!J484</f>
        <v>24.779640000000001</v>
      </c>
    </row>
    <row r="69" spans="1:11" ht="12" customHeight="1" thickBot="1" x14ac:dyDescent="0.3">
      <c r="A69" s="121" t="str">
        <f>'Total Price List'!A485</f>
        <v>G Data</v>
      </c>
      <c r="B69" s="122">
        <f>'Total Price List'!B485</f>
        <v>21338</v>
      </c>
      <c r="C69" s="124"/>
      <c r="D69" s="124" t="str">
        <f>'Total Price List'!D485</f>
        <v>Crossgrade 3Y GD AV ENT 1000+</v>
      </c>
      <c r="E69" s="124" t="str">
        <f>'Total Price List'!E485</f>
        <v>License 999 &lt; x &lt; 2500</v>
      </c>
      <c r="F69" s="122" t="str">
        <f>'Total Price List'!F485</f>
        <v>License</v>
      </c>
      <c r="G69" s="124" t="str">
        <f>'Total Price List'!G485</f>
        <v>G Data AntiVirus + MailSecurity + Backup</v>
      </c>
      <c r="H69" s="124" t="str">
        <f>'Total Price List'!H485</f>
        <v>Crossgrade network license 3 years</v>
      </c>
      <c r="I69" s="291">
        <f>'Total Price List'!I485</f>
        <v>22.430399999999999</v>
      </c>
      <c r="J69" s="292">
        <f>'Total Price List'!J485</f>
        <v>22.430399999999999</v>
      </c>
    </row>
    <row r="70" spans="1:11" s="331" customFormat="1" ht="12" customHeight="1" x14ac:dyDescent="0.25">
      <c r="A70" s="329" t="str">
        <f>'Total Price List'!A486</f>
        <v>G Data Crossgrade ClientSecurity Business network license</v>
      </c>
      <c r="B70" s="329"/>
      <c r="C70" s="329"/>
      <c r="D70" s="329"/>
      <c r="E70" s="329"/>
      <c r="F70" s="329"/>
      <c r="G70" s="329"/>
      <c r="H70" s="329"/>
      <c r="I70" s="329"/>
      <c r="J70" s="330"/>
    </row>
    <row r="71" spans="1:11" ht="12" customHeight="1" x14ac:dyDescent="0.25">
      <c r="A71" s="93" t="str">
        <f>'Total Price List'!A487</f>
        <v>G Data</v>
      </c>
      <c r="B71" s="48">
        <f>'Total Price List'!B487</f>
        <v>21411</v>
      </c>
      <c r="C71" s="49"/>
      <c r="D71" s="49" t="str">
        <f>'Total Price List'!D487</f>
        <v>Crossgrade 1Y GD CS BUS -9</v>
      </c>
      <c r="E71" s="49" t="str">
        <f>'Total Price List'!E487</f>
        <v>License 4 &lt; x &lt; 10</v>
      </c>
      <c r="F71" s="48" t="str">
        <f>'Total Price List'!F487</f>
        <v>License</v>
      </c>
      <c r="G71" s="49" t="str">
        <f>'Total Price List'!G487</f>
        <v>G Data ClientSecurity Business</v>
      </c>
      <c r="H71" s="49" t="str">
        <f>'Total Price List'!H487</f>
        <v>Crossgrade network license 1 year</v>
      </c>
      <c r="I71" s="289">
        <f>'Total Price List'!I487</f>
        <v>33.440000000000005</v>
      </c>
      <c r="J71" s="290">
        <f>'Total Price List'!J487</f>
        <v>33.440000000000005</v>
      </c>
      <c r="K71" s="46"/>
    </row>
    <row r="72" spans="1:11" ht="12" customHeight="1" x14ac:dyDescent="0.25">
      <c r="A72" s="93" t="str">
        <f>'Total Price List'!A488</f>
        <v>G Data</v>
      </c>
      <c r="B72" s="48">
        <f>'Total Price List'!B488</f>
        <v>21412</v>
      </c>
      <c r="C72" s="49"/>
      <c r="D72" s="49" t="str">
        <f>'Total Price List'!D488</f>
        <v>Crossgrade 1Y GD CS BUS 10+</v>
      </c>
      <c r="E72" s="49" t="str">
        <f>'Total Price List'!E488</f>
        <v>License 9 &lt; x &lt; 25</v>
      </c>
      <c r="F72" s="48" t="str">
        <f>'Total Price List'!F488</f>
        <v>License</v>
      </c>
      <c r="G72" s="49" t="str">
        <f>'Total Price List'!G488</f>
        <v>G Data ClientSecurity Business</v>
      </c>
      <c r="H72" s="49" t="str">
        <f>'Total Price List'!H488</f>
        <v>Crossgrade network license 1 year</v>
      </c>
      <c r="I72" s="289">
        <f>'Total Price List'!I488</f>
        <v>22.000000000000004</v>
      </c>
      <c r="J72" s="290">
        <f>'Total Price List'!J488</f>
        <v>22.000000000000004</v>
      </c>
      <c r="K72" s="46"/>
    </row>
    <row r="73" spans="1:11" ht="12" customHeight="1" x14ac:dyDescent="0.25">
      <c r="A73" s="93" t="str">
        <f>'Total Price List'!A489</f>
        <v>G Data</v>
      </c>
      <c r="B73" s="48">
        <f>'Total Price List'!B489</f>
        <v>21413</v>
      </c>
      <c r="C73" s="49"/>
      <c r="D73" s="49" t="str">
        <f>'Total Price List'!D489</f>
        <v>Crossgrade 1Y GD CS BUS 25+</v>
      </c>
      <c r="E73" s="49" t="str">
        <f>'Total Price List'!E489</f>
        <v>License 24 &lt; x &lt; 50</v>
      </c>
      <c r="F73" s="48" t="str">
        <f>'Total Price List'!F489</f>
        <v>License</v>
      </c>
      <c r="G73" s="49" t="str">
        <f>'Total Price List'!G489</f>
        <v>G Data ClientSecurity Business</v>
      </c>
      <c r="H73" s="49" t="str">
        <f>'Total Price List'!H489</f>
        <v>Crossgrade network license 1 year</v>
      </c>
      <c r="I73" s="289">
        <f>'Total Price List'!I489</f>
        <v>16.720000000000002</v>
      </c>
      <c r="J73" s="290">
        <f>'Total Price List'!J489</f>
        <v>16.720000000000002</v>
      </c>
      <c r="K73" s="46"/>
    </row>
    <row r="74" spans="1:11" ht="12" customHeight="1" x14ac:dyDescent="0.25">
      <c r="A74" s="93" t="str">
        <f>'Total Price List'!A490</f>
        <v>G Data</v>
      </c>
      <c r="B74" s="48">
        <f>'Total Price List'!B490</f>
        <v>21414</v>
      </c>
      <c r="C74" s="49"/>
      <c r="D74" s="49" t="str">
        <f>'Total Price List'!D490</f>
        <v>Crossgrade 1Y GD CS BUS 50+</v>
      </c>
      <c r="E74" s="49" t="str">
        <f>'Total Price List'!E490</f>
        <v>License 49 &lt; x &lt; 100</v>
      </c>
      <c r="F74" s="48" t="str">
        <f>'Total Price List'!F490</f>
        <v>License</v>
      </c>
      <c r="G74" s="49" t="str">
        <f>'Total Price List'!G490</f>
        <v>G Data ClientSecurity Business</v>
      </c>
      <c r="H74" s="49" t="str">
        <f>'Total Price List'!H490</f>
        <v>Crossgrade network license 1 year</v>
      </c>
      <c r="I74" s="289">
        <f>'Total Price List'!I490</f>
        <v>14.960000000000003</v>
      </c>
      <c r="J74" s="290">
        <f>'Total Price List'!J490</f>
        <v>14.960000000000003</v>
      </c>
      <c r="K74" s="46"/>
    </row>
    <row r="75" spans="1:11" ht="12" customHeight="1" x14ac:dyDescent="0.25">
      <c r="A75" s="93" t="str">
        <f>'Total Price List'!A491</f>
        <v>G Data</v>
      </c>
      <c r="B75" s="48">
        <f>'Total Price List'!B491</f>
        <v>21415</v>
      </c>
      <c r="C75" s="49"/>
      <c r="D75" s="49" t="str">
        <f>'Total Price List'!D491</f>
        <v>Crossgrade 1Y GD CS BUS 100+</v>
      </c>
      <c r="E75" s="49" t="str">
        <f>'Total Price List'!E491</f>
        <v>License 99 &lt; x &lt; 250</v>
      </c>
      <c r="F75" s="48" t="str">
        <f>'Total Price List'!F491</f>
        <v>License</v>
      </c>
      <c r="G75" s="49" t="str">
        <f>'Total Price List'!G491</f>
        <v>G Data ClientSecurity Business</v>
      </c>
      <c r="H75" s="49" t="str">
        <f>'Total Price List'!H491</f>
        <v>Crossgrade network license 1 year</v>
      </c>
      <c r="I75" s="289">
        <f>'Total Price List'!I491</f>
        <v>12.320000000000002</v>
      </c>
      <c r="J75" s="290">
        <f>'Total Price List'!J491</f>
        <v>12.320000000000002</v>
      </c>
    </row>
    <row r="76" spans="1:11" ht="12" customHeight="1" x14ac:dyDescent="0.25">
      <c r="A76" s="93" t="str">
        <f>'Total Price List'!A492</f>
        <v>G Data</v>
      </c>
      <c r="B76" s="48">
        <f>'Total Price List'!B492</f>
        <v>21416</v>
      </c>
      <c r="C76" s="49"/>
      <c r="D76" s="49" t="str">
        <f>'Total Price List'!D492</f>
        <v>Crossgrade 1Y GD CS BUS 250+</v>
      </c>
      <c r="E76" s="49" t="str">
        <f>'Total Price List'!E492</f>
        <v>License 249 &lt; x &lt; 499</v>
      </c>
      <c r="F76" s="48" t="str">
        <f>'Total Price List'!F492</f>
        <v>License</v>
      </c>
      <c r="G76" s="49" t="str">
        <f>'Total Price List'!G492</f>
        <v>G Data ClientSecurity Business</v>
      </c>
      <c r="H76" s="49" t="str">
        <f>'Total Price List'!H492</f>
        <v>Crossgrade network license 1 year</v>
      </c>
      <c r="I76" s="289">
        <f>'Total Price List'!I492</f>
        <v>10.560000000000002</v>
      </c>
      <c r="J76" s="290">
        <f>'Total Price List'!J492</f>
        <v>10.560000000000002</v>
      </c>
    </row>
    <row r="77" spans="1:11" ht="12" customHeight="1" x14ac:dyDescent="0.25">
      <c r="A77" s="93" t="str">
        <f>'Total Price List'!A493</f>
        <v>G Data</v>
      </c>
      <c r="B77" s="48">
        <f>'Total Price List'!B493</f>
        <v>21417</v>
      </c>
      <c r="C77" s="49"/>
      <c r="D77" s="49" t="str">
        <f>'Total Price List'!D493</f>
        <v>Crossgrade 1Y GD CS BUS 500+</v>
      </c>
      <c r="E77" s="49" t="str">
        <f>'Total Price List'!E493</f>
        <v>License 499 &lt; x &lt; 1000</v>
      </c>
      <c r="F77" s="48" t="str">
        <f>'Total Price List'!F493</f>
        <v>License</v>
      </c>
      <c r="G77" s="49" t="str">
        <f>'Total Price List'!G493</f>
        <v>G Data ClientSecurity Business</v>
      </c>
      <c r="H77" s="49" t="str">
        <f>'Total Price List'!H493</f>
        <v>Crossgrade network license 1 year</v>
      </c>
      <c r="I77" s="289">
        <f>'Total Price List'!I493</f>
        <v>8.8000000000000007</v>
      </c>
      <c r="J77" s="290">
        <f>'Total Price List'!J493</f>
        <v>8.8000000000000007</v>
      </c>
    </row>
    <row r="78" spans="1:11" ht="12" customHeight="1" x14ac:dyDescent="0.25">
      <c r="A78" s="93" t="str">
        <f>'Total Price List'!A494</f>
        <v>G Data</v>
      </c>
      <c r="B78" s="48">
        <f>'Total Price List'!B494</f>
        <v>21418</v>
      </c>
      <c r="C78" s="49"/>
      <c r="D78" s="49" t="str">
        <f>'Total Price List'!D494</f>
        <v>Crossgrade 1Y GD CS BUS 1000+</v>
      </c>
      <c r="E78" s="49" t="str">
        <f>'Total Price List'!E494</f>
        <v>License 999 &lt; x &lt; 2500</v>
      </c>
      <c r="F78" s="48" t="str">
        <f>'Total Price List'!F494</f>
        <v>License</v>
      </c>
      <c r="G78" s="49" t="str">
        <f>'Total Price List'!G494</f>
        <v>G Data ClientSecurity Business</v>
      </c>
      <c r="H78" s="49" t="str">
        <f>'Total Price List'!H494</f>
        <v>Crossgrade network license 1 year</v>
      </c>
      <c r="I78" s="289">
        <f>'Total Price List'!I494</f>
        <v>7.9200000000000008</v>
      </c>
      <c r="J78" s="290">
        <f>'Total Price List'!J494</f>
        <v>7.9200000000000008</v>
      </c>
    </row>
    <row r="79" spans="1:11" ht="12" customHeight="1" x14ac:dyDescent="0.25">
      <c r="A79" s="93" t="str">
        <f>'Total Price List'!A495</f>
        <v>G Data</v>
      </c>
      <c r="B79" s="48">
        <f>'Total Price List'!B495</f>
        <v>21421</v>
      </c>
      <c r="C79" s="49"/>
      <c r="D79" s="49" t="str">
        <f>'Total Price List'!D495</f>
        <v>Crossgrade 2Y GD CS BUS -9</v>
      </c>
      <c r="E79" s="49" t="str">
        <f>'Total Price List'!E495</f>
        <v>License 4 &lt; x &lt; 10</v>
      </c>
      <c r="F79" s="48" t="str">
        <f>'Total Price List'!F495</f>
        <v>License</v>
      </c>
      <c r="G79" s="49" t="str">
        <f>'Total Price List'!G495</f>
        <v>G Data ClientSecurity Business</v>
      </c>
      <c r="H79" s="49" t="str">
        <f>'Total Price List'!H495</f>
        <v>Crossgrade network license 2 years</v>
      </c>
      <c r="I79" s="289">
        <f>'Total Price List'!I495</f>
        <v>52.140000000000015</v>
      </c>
      <c r="J79" s="290">
        <f>'Total Price List'!J495</f>
        <v>52.140000000000015</v>
      </c>
      <c r="K79" s="46"/>
    </row>
    <row r="80" spans="1:11" ht="12" customHeight="1" x14ac:dyDescent="0.25">
      <c r="A80" s="93" t="str">
        <f>'Total Price List'!A496</f>
        <v>G Data</v>
      </c>
      <c r="B80" s="48">
        <f>'Total Price List'!B496</f>
        <v>21422</v>
      </c>
      <c r="C80" s="49"/>
      <c r="D80" s="49" t="str">
        <f>'Total Price List'!D496</f>
        <v>Crossgrade 2Y GD CS BUS 10+</v>
      </c>
      <c r="E80" s="49" t="str">
        <f>'Total Price List'!E496</f>
        <v>License 9 &lt; x &lt; 25</v>
      </c>
      <c r="F80" s="48" t="str">
        <f>'Total Price List'!F496</f>
        <v>License</v>
      </c>
      <c r="G80" s="49" t="str">
        <f>'Total Price List'!G496</f>
        <v>G Data ClientSecurity Business</v>
      </c>
      <c r="H80" s="49" t="str">
        <f>'Total Price List'!H496</f>
        <v>Crossgrade network license 2 years</v>
      </c>
      <c r="I80" s="289">
        <f>'Total Price List'!I496</f>
        <v>40.326000000000008</v>
      </c>
      <c r="J80" s="290">
        <f>'Total Price List'!J496</f>
        <v>40.326000000000008</v>
      </c>
      <c r="K80" s="46"/>
    </row>
    <row r="81" spans="1:11" ht="12" customHeight="1" x14ac:dyDescent="0.25">
      <c r="A81" s="93" t="str">
        <f>'Total Price List'!A497</f>
        <v>G Data</v>
      </c>
      <c r="B81" s="48">
        <f>'Total Price List'!B497</f>
        <v>21423</v>
      </c>
      <c r="C81" s="49"/>
      <c r="D81" s="49" t="str">
        <f>'Total Price List'!D497</f>
        <v>Crossgrade 2Y GD CS BUS 25+</v>
      </c>
      <c r="E81" s="49" t="str">
        <f>'Total Price List'!E497</f>
        <v>License 24 &lt; x &lt; 50</v>
      </c>
      <c r="F81" s="48" t="str">
        <f>'Total Price List'!F497</f>
        <v>License</v>
      </c>
      <c r="G81" s="49" t="str">
        <f>'Total Price List'!G497</f>
        <v>G Data ClientSecurity Business</v>
      </c>
      <c r="H81" s="49" t="str">
        <f>'Total Price List'!H497</f>
        <v>Crossgrade network license 2 years</v>
      </c>
      <c r="I81" s="289">
        <f>'Total Price List'!I497</f>
        <v>32.128800000000005</v>
      </c>
      <c r="J81" s="290">
        <f>'Total Price List'!J497</f>
        <v>32.128800000000005</v>
      </c>
      <c r="K81" s="46"/>
    </row>
    <row r="82" spans="1:11" ht="12" customHeight="1" x14ac:dyDescent="0.25">
      <c r="A82" s="93" t="str">
        <f>'Total Price List'!A498</f>
        <v>G Data</v>
      </c>
      <c r="B82" s="48">
        <f>'Total Price List'!B498</f>
        <v>21424</v>
      </c>
      <c r="C82" s="49"/>
      <c r="D82" s="49" t="str">
        <f>'Total Price List'!D498</f>
        <v>Crossgrade 2Y GD CS BUS 50+</v>
      </c>
      <c r="E82" s="49" t="str">
        <f>'Total Price List'!E498</f>
        <v>License 49 &lt; x &lt; 100</v>
      </c>
      <c r="F82" s="48" t="str">
        <f>'Total Price List'!F498</f>
        <v>License</v>
      </c>
      <c r="G82" s="49" t="str">
        <f>'Total Price List'!G498</f>
        <v>G Data ClientSecurity Business</v>
      </c>
      <c r="H82" s="49" t="str">
        <f>'Total Price List'!H498</f>
        <v>Crossgrade network license 2 years</v>
      </c>
      <c r="I82" s="289">
        <f>'Total Price List'!I498</f>
        <v>29.396400000000007</v>
      </c>
      <c r="J82" s="290">
        <f>'Total Price List'!J498</f>
        <v>29.396400000000007</v>
      </c>
      <c r="K82" s="46"/>
    </row>
    <row r="83" spans="1:11" ht="12" customHeight="1" x14ac:dyDescent="0.25">
      <c r="A83" s="93" t="str">
        <f>'Total Price List'!A499</f>
        <v>G Data</v>
      </c>
      <c r="B83" s="48">
        <f>'Total Price List'!B499</f>
        <v>21425</v>
      </c>
      <c r="C83" s="49"/>
      <c r="D83" s="49" t="str">
        <f>'Total Price List'!D499</f>
        <v>Crossgrade 2Y GD CS BUS 100+</v>
      </c>
      <c r="E83" s="49" t="str">
        <f>'Total Price List'!E499</f>
        <v>License 99 &lt; x &lt; 250</v>
      </c>
      <c r="F83" s="48" t="str">
        <f>'Total Price List'!F499</f>
        <v>License</v>
      </c>
      <c r="G83" s="49" t="str">
        <f>'Total Price List'!G499</f>
        <v>G Data ClientSecurity Business</v>
      </c>
      <c r="H83" s="49" t="str">
        <f>'Total Price List'!H499</f>
        <v>Crossgrade network license 2 years</v>
      </c>
      <c r="I83" s="289">
        <f>'Total Price List'!I499</f>
        <v>24.026200000000003</v>
      </c>
      <c r="J83" s="290">
        <f>'Total Price List'!J499</f>
        <v>24.026200000000003</v>
      </c>
    </row>
    <row r="84" spans="1:11" ht="12" customHeight="1" x14ac:dyDescent="0.25">
      <c r="A84" s="93" t="str">
        <f>'Total Price List'!A500</f>
        <v>G Data</v>
      </c>
      <c r="B84" s="48">
        <f>'Total Price List'!B500</f>
        <v>21426</v>
      </c>
      <c r="C84" s="49"/>
      <c r="D84" s="49" t="str">
        <f>'Total Price List'!D500</f>
        <v>Crossgrade 2Y GD CS BUS 250+</v>
      </c>
      <c r="E84" s="49" t="str">
        <f>'Total Price List'!E500</f>
        <v>License 249 &lt; x &lt; 499</v>
      </c>
      <c r="F84" s="48" t="str">
        <f>'Total Price List'!F500</f>
        <v>License</v>
      </c>
      <c r="G84" s="49" t="str">
        <f>'Total Price List'!G500</f>
        <v>G Data ClientSecurity Business</v>
      </c>
      <c r="H84" s="49" t="str">
        <f>'Total Price List'!H500</f>
        <v>Crossgrade network license 2 years</v>
      </c>
      <c r="I84" s="289">
        <f>'Total Price List'!I500</f>
        <v>19.73048</v>
      </c>
      <c r="J84" s="290">
        <f>'Total Price List'!J500</f>
        <v>19.73048</v>
      </c>
    </row>
    <row r="85" spans="1:11" ht="12" customHeight="1" x14ac:dyDescent="0.25">
      <c r="A85" s="93" t="str">
        <f>'Total Price List'!A501</f>
        <v>G Data</v>
      </c>
      <c r="B85" s="48">
        <f>'Total Price List'!B501</f>
        <v>21427</v>
      </c>
      <c r="C85" s="49"/>
      <c r="D85" s="49" t="str">
        <f>'Total Price List'!D501</f>
        <v>Crossgrade 2Y GD CS BUS 500+</v>
      </c>
      <c r="E85" s="49" t="str">
        <f>'Total Price List'!E501</f>
        <v>License 499 &lt; x &lt; 1000</v>
      </c>
      <c r="F85" s="48" t="str">
        <f>'Total Price List'!F501</f>
        <v>License</v>
      </c>
      <c r="G85" s="49" t="str">
        <f>'Total Price List'!G501</f>
        <v>G Data ClientSecurity Business</v>
      </c>
      <c r="H85" s="49" t="str">
        <f>'Total Price List'!H501</f>
        <v>Crossgrade network license 2 years</v>
      </c>
      <c r="I85" s="289">
        <f>'Total Price List'!I501</f>
        <v>16.751240000000003</v>
      </c>
      <c r="J85" s="290">
        <f>'Total Price List'!J501</f>
        <v>16.751240000000003</v>
      </c>
    </row>
    <row r="86" spans="1:11" ht="12" customHeight="1" x14ac:dyDescent="0.25">
      <c r="A86" s="93" t="str">
        <f>'Total Price List'!A502</f>
        <v>G Data</v>
      </c>
      <c r="B86" s="48">
        <f>'Total Price List'!B502</f>
        <v>21428</v>
      </c>
      <c r="C86" s="49"/>
      <c r="D86" s="49" t="str">
        <f>'Total Price List'!D502</f>
        <v>Crossgrade 2Y GD CS BUS 1000+</v>
      </c>
      <c r="E86" s="49" t="str">
        <f>'Total Price List'!E502</f>
        <v>License 999 &lt; x &lt; 2500</v>
      </c>
      <c r="F86" s="48" t="str">
        <f>'Total Price List'!F502</f>
        <v>License</v>
      </c>
      <c r="G86" s="49" t="str">
        <f>'Total Price List'!G502</f>
        <v>G Data ClientSecurity Business</v>
      </c>
      <c r="H86" s="49" t="str">
        <f>'Total Price List'!H502</f>
        <v>Crossgrade network license 2 years</v>
      </c>
      <c r="I86" s="289">
        <f>'Total Price List'!I502</f>
        <v>14.726800000000001</v>
      </c>
      <c r="J86" s="290">
        <f>'Total Price List'!J502</f>
        <v>14.726800000000001</v>
      </c>
    </row>
    <row r="87" spans="1:11" ht="12" customHeight="1" x14ac:dyDescent="0.25">
      <c r="A87" s="93" t="str">
        <f>'Total Price List'!A503</f>
        <v>G Data</v>
      </c>
      <c r="B87" s="48">
        <f>'Total Price List'!B503</f>
        <v>21431</v>
      </c>
      <c r="C87" s="49"/>
      <c r="D87" s="49" t="str">
        <f>'Total Price List'!D503</f>
        <v>Crossgrade 3Y GD CS BUS -9</v>
      </c>
      <c r="E87" s="49" t="str">
        <f>'Total Price List'!E503</f>
        <v>License 4 &lt; x &lt; 10</v>
      </c>
      <c r="F87" s="48" t="str">
        <f>'Total Price List'!F503</f>
        <v>License</v>
      </c>
      <c r="G87" s="49" t="str">
        <f>'Total Price List'!G503</f>
        <v>G Data ClientSecurity Business</v>
      </c>
      <c r="H87" s="49" t="str">
        <f>'Total Price List'!H503</f>
        <v>Crossgrade network license 3 years</v>
      </c>
      <c r="I87" s="289">
        <f>'Total Price List'!I503</f>
        <v>66.165000000000006</v>
      </c>
      <c r="J87" s="290">
        <f>'Total Price List'!J503</f>
        <v>66.165000000000006</v>
      </c>
      <c r="K87" s="46"/>
    </row>
    <row r="88" spans="1:11" ht="12" customHeight="1" x14ac:dyDescent="0.25">
      <c r="A88" s="93" t="str">
        <f>'Total Price List'!A504</f>
        <v>G Data</v>
      </c>
      <c r="B88" s="48">
        <f>'Total Price List'!B504</f>
        <v>21432</v>
      </c>
      <c r="C88" s="49"/>
      <c r="D88" s="49" t="str">
        <f>'Total Price List'!D504</f>
        <v>Crossgrade 3Y GD CS BUS 10+</v>
      </c>
      <c r="E88" s="49" t="str">
        <f>'Total Price List'!E504</f>
        <v>License 9 &lt; x &lt; 25</v>
      </c>
      <c r="F88" s="48" t="str">
        <f>'Total Price List'!F504</f>
        <v>License</v>
      </c>
      <c r="G88" s="49" t="str">
        <f>'Total Price List'!G504</f>
        <v>G Data ClientSecurity Business</v>
      </c>
      <c r="H88" s="49" t="str">
        <f>'Total Price List'!H504</f>
        <v>Crossgrade network license 3 years</v>
      </c>
      <c r="I88" s="289">
        <f>'Total Price List'!I504</f>
        <v>54.07050000000001</v>
      </c>
      <c r="J88" s="290">
        <f>'Total Price List'!J504</f>
        <v>54.07050000000001</v>
      </c>
      <c r="K88" s="46"/>
    </row>
    <row r="89" spans="1:11" ht="12" customHeight="1" x14ac:dyDescent="0.25">
      <c r="A89" s="93" t="str">
        <f>'Total Price List'!A505</f>
        <v>G Data</v>
      </c>
      <c r="B89" s="48">
        <f>'Total Price List'!B505</f>
        <v>21433</v>
      </c>
      <c r="C89" s="49"/>
      <c r="D89" s="49" t="str">
        <f>'Total Price List'!D505</f>
        <v>Crossgrade 3Y GD CS BUS 25+</v>
      </c>
      <c r="E89" s="49" t="str">
        <f>'Total Price List'!E505</f>
        <v>License 24 &lt; x &lt; 50</v>
      </c>
      <c r="F89" s="48" t="str">
        <f>'Total Price List'!F505</f>
        <v>License</v>
      </c>
      <c r="G89" s="49" t="str">
        <f>'Total Price List'!G505</f>
        <v>G Data ClientSecurity Business</v>
      </c>
      <c r="H89" s="49" t="str">
        <f>'Total Price List'!H505</f>
        <v>Crossgrade network license 3 years</v>
      </c>
      <c r="I89" s="289">
        <f>'Total Price List'!I505</f>
        <v>43.685400000000008</v>
      </c>
      <c r="J89" s="290">
        <f>'Total Price List'!J505</f>
        <v>43.685400000000008</v>
      </c>
      <c r="K89" s="46"/>
    </row>
    <row r="90" spans="1:11" ht="12" customHeight="1" x14ac:dyDescent="0.25">
      <c r="A90" s="93" t="str">
        <f>'Total Price List'!A506</f>
        <v>G Data</v>
      </c>
      <c r="B90" s="48">
        <f>'Total Price List'!B506</f>
        <v>21434</v>
      </c>
      <c r="C90" s="49"/>
      <c r="D90" s="49" t="str">
        <f>'Total Price List'!D506</f>
        <v>Crossgrade 3Y GD CS BUS 50+</v>
      </c>
      <c r="E90" s="49" t="str">
        <f>'Total Price List'!E506</f>
        <v>License 49 &lt; x &lt; 100</v>
      </c>
      <c r="F90" s="48" t="str">
        <f>'Total Price List'!F506</f>
        <v>License</v>
      </c>
      <c r="G90" s="49" t="str">
        <f>'Total Price List'!G506</f>
        <v>G Data ClientSecurity Business</v>
      </c>
      <c r="H90" s="49" t="str">
        <f>'Total Price List'!H506</f>
        <v>Crossgrade network license 3 years</v>
      </c>
      <c r="I90" s="289">
        <f>'Total Price List'!I506</f>
        <v>40.223700000000001</v>
      </c>
      <c r="J90" s="290">
        <f>'Total Price List'!J506</f>
        <v>40.223700000000001</v>
      </c>
      <c r="K90" s="46"/>
    </row>
    <row r="91" spans="1:11" ht="12" customHeight="1" x14ac:dyDescent="0.25">
      <c r="A91" s="93" t="str">
        <f>'Total Price List'!A507</f>
        <v>G Data</v>
      </c>
      <c r="B91" s="48">
        <f>'Total Price List'!B507</f>
        <v>21435</v>
      </c>
      <c r="C91" s="49"/>
      <c r="D91" s="49" t="str">
        <f>'Total Price List'!D507</f>
        <v>Crossgrade 3Y GD CS BUS 100+</v>
      </c>
      <c r="E91" s="49" t="str">
        <f>'Total Price List'!E507</f>
        <v>License 99 &lt; x &lt; 250</v>
      </c>
      <c r="F91" s="48" t="str">
        <f>'Total Price List'!F507</f>
        <v>License</v>
      </c>
      <c r="G91" s="49" t="str">
        <f>'Total Price List'!G507</f>
        <v>G Data ClientSecurity Business</v>
      </c>
      <c r="H91" s="49" t="str">
        <f>'Total Price List'!H507</f>
        <v>Crossgrade network license 3 years</v>
      </c>
      <c r="I91" s="289">
        <f>'Total Price List'!I507</f>
        <v>32.805850000000007</v>
      </c>
      <c r="J91" s="290">
        <f>'Total Price List'!J507</f>
        <v>32.805850000000007</v>
      </c>
    </row>
    <row r="92" spans="1:11" ht="12" customHeight="1" x14ac:dyDescent="0.25">
      <c r="A92" s="93" t="str">
        <f>'Total Price List'!A508</f>
        <v>G Data</v>
      </c>
      <c r="B92" s="48">
        <f>'Total Price List'!B508</f>
        <v>21436</v>
      </c>
      <c r="C92" s="49"/>
      <c r="D92" s="49" t="str">
        <f>'Total Price List'!D508</f>
        <v>Crossgrade 3Y GD CS BUS 250+</v>
      </c>
      <c r="E92" s="49" t="str">
        <f>'Total Price List'!E508</f>
        <v>License 249 &lt; x &lt; 499</v>
      </c>
      <c r="F92" s="48" t="str">
        <f>'Total Price List'!F508</f>
        <v>License</v>
      </c>
      <c r="G92" s="49" t="str">
        <f>'Total Price List'!G508</f>
        <v>G Data ClientSecurity Business</v>
      </c>
      <c r="H92" s="49" t="str">
        <f>'Total Price List'!H508</f>
        <v>Crossgrade network license 3 years</v>
      </c>
      <c r="I92" s="289">
        <f>'Total Price List'!I508</f>
        <v>26.608339999999998</v>
      </c>
      <c r="J92" s="290">
        <f>'Total Price List'!J508</f>
        <v>26.608339999999998</v>
      </c>
    </row>
    <row r="93" spans="1:11" ht="12" customHeight="1" x14ac:dyDescent="0.25">
      <c r="A93" s="93" t="str">
        <f>'Total Price List'!A509</f>
        <v>G Data</v>
      </c>
      <c r="B93" s="48">
        <f>'Total Price List'!B509</f>
        <v>21437</v>
      </c>
      <c r="C93" s="49"/>
      <c r="D93" s="49" t="str">
        <f>'Total Price List'!D509</f>
        <v>Crossgrade 3Y GD CS BUS 500+</v>
      </c>
      <c r="E93" s="49" t="str">
        <f>'Total Price List'!E509</f>
        <v>License 499 &lt; x &lt; 1000</v>
      </c>
      <c r="F93" s="48" t="str">
        <f>'Total Price List'!F509</f>
        <v>License</v>
      </c>
      <c r="G93" s="49" t="str">
        <f>'Total Price List'!G509</f>
        <v>G Data ClientSecurity Business</v>
      </c>
      <c r="H93" s="49" t="str">
        <f>'Total Price List'!H509</f>
        <v>Crossgrade network license 3 years</v>
      </c>
      <c r="I93" s="289">
        <f>'Total Price List'!I509</f>
        <v>22.714670000000005</v>
      </c>
      <c r="J93" s="290">
        <f>'Total Price List'!J509</f>
        <v>22.714670000000005</v>
      </c>
    </row>
    <row r="94" spans="1:11" ht="12" customHeight="1" thickBot="1" x14ac:dyDescent="0.3">
      <c r="A94" s="121" t="str">
        <f>'Total Price List'!A510</f>
        <v>G Data</v>
      </c>
      <c r="B94" s="122">
        <f>'Total Price List'!B510</f>
        <v>21438</v>
      </c>
      <c r="C94" s="124"/>
      <c r="D94" s="124" t="str">
        <f>'Total Price List'!D510</f>
        <v>Crossgrade 3Y GD CS BUS 1000+</v>
      </c>
      <c r="E94" s="124" t="str">
        <f>'Total Price List'!E510</f>
        <v>License 999 &lt; x &lt; 2500</v>
      </c>
      <c r="F94" s="122" t="str">
        <f>'Total Price List'!F510</f>
        <v>License</v>
      </c>
      <c r="G94" s="124" t="str">
        <f>'Total Price List'!G510</f>
        <v>G Data ClientSecurity Business</v>
      </c>
      <c r="H94" s="124" t="str">
        <f>'Total Price List'!H510</f>
        <v>Crossgrade network license 3 years</v>
      </c>
      <c r="I94" s="291">
        <f>'Total Price List'!I510</f>
        <v>20.561199999999999</v>
      </c>
      <c r="J94" s="292">
        <f>'Total Price List'!J510</f>
        <v>20.561199999999999</v>
      </c>
    </row>
    <row r="95" spans="1:11" ht="12" customHeight="1" x14ac:dyDescent="0.25">
      <c r="A95" s="114" t="str">
        <f>'Total Price List'!A511</f>
        <v>G Data Crossgrade ClientSecurity + MailSecurity + Backup network license</v>
      </c>
      <c r="B95" s="114"/>
      <c r="C95" s="114"/>
      <c r="D95" s="114"/>
      <c r="E95" s="114"/>
      <c r="F95" s="114"/>
      <c r="G95" s="114"/>
      <c r="H95" s="114"/>
      <c r="I95" s="114"/>
      <c r="J95" s="115"/>
    </row>
    <row r="96" spans="1:11" ht="12" customHeight="1" x14ac:dyDescent="0.25">
      <c r="A96" s="93" t="str">
        <f>'Total Price List'!A512</f>
        <v>G Data</v>
      </c>
      <c r="B96" s="48">
        <f>'Total Price List'!B512</f>
        <v>21511</v>
      </c>
      <c r="C96" s="49"/>
      <c r="D96" s="49" t="str">
        <f>'Total Price List'!D512</f>
        <v>Crossgrade 1Y GD CS ENT -9</v>
      </c>
      <c r="E96" s="49" t="str">
        <f>'Total Price List'!E512</f>
        <v>License 4 &lt; x &lt; 10</v>
      </c>
      <c r="F96" s="48" t="str">
        <f>'Total Price List'!F512</f>
        <v>License</v>
      </c>
      <c r="G96" s="49" t="str">
        <f>'Total Price List'!G512</f>
        <v>G Data ClientSecurity + MailSecurity + Backup</v>
      </c>
      <c r="H96" s="49" t="str">
        <f>'Total Price List'!H512</f>
        <v>Crossgrade network license 1 year</v>
      </c>
      <c r="I96" s="289">
        <f>'Total Price List'!I512</f>
        <v>40.128000000000007</v>
      </c>
      <c r="J96" s="290">
        <f>'Total Price List'!J512</f>
        <v>50.160000000000004</v>
      </c>
      <c r="K96" s="46"/>
    </row>
    <row r="97" spans="1:11" ht="12" customHeight="1" x14ac:dyDescent="0.25">
      <c r="A97" s="93" t="str">
        <f>'Total Price List'!A513</f>
        <v>G Data</v>
      </c>
      <c r="B97" s="48">
        <f>'Total Price List'!B513</f>
        <v>21512</v>
      </c>
      <c r="C97" s="49"/>
      <c r="D97" s="49" t="str">
        <f>'Total Price List'!D513</f>
        <v>Crossgrade 1Y GD CS ENT 10+</v>
      </c>
      <c r="E97" s="49" t="str">
        <f>'Total Price List'!E513</f>
        <v>License 9 &lt; x &lt; 25</v>
      </c>
      <c r="F97" s="48" t="str">
        <f>'Total Price List'!F513</f>
        <v>License</v>
      </c>
      <c r="G97" s="49" t="str">
        <f>'Total Price List'!G513</f>
        <v>G Data ClientSecurity + MailSecurity + Backup</v>
      </c>
      <c r="H97" s="49" t="str">
        <f>'Total Price List'!H513</f>
        <v>Crossgrade network license 1 year</v>
      </c>
      <c r="I97" s="289">
        <f>'Total Price List'!I513</f>
        <v>26.400000000000002</v>
      </c>
      <c r="J97" s="290">
        <f>'Total Price List'!J513</f>
        <v>33</v>
      </c>
      <c r="K97" s="46"/>
    </row>
    <row r="98" spans="1:11" ht="12" customHeight="1" x14ac:dyDescent="0.25">
      <c r="A98" s="93" t="str">
        <f>'Total Price List'!A514</f>
        <v>G Data</v>
      </c>
      <c r="B98" s="48">
        <f>'Total Price List'!B514</f>
        <v>21513</v>
      </c>
      <c r="C98" s="49"/>
      <c r="D98" s="49" t="str">
        <f>'Total Price List'!D514</f>
        <v>Crossgrade 1Y GD CS ENT 25+</v>
      </c>
      <c r="E98" s="49" t="str">
        <f>'Total Price List'!E514</f>
        <v>License 24 &lt; x &lt; 50</v>
      </c>
      <c r="F98" s="48" t="str">
        <f>'Total Price List'!F514</f>
        <v>License</v>
      </c>
      <c r="G98" s="49" t="str">
        <f>'Total Price List'!G514</f>
        <v>G Data ClientSecurity + MailSecurity + Backup</v>
      </c>
      <c r="H98" s="49" t="str">
        <f>'Total Price List'!H514</f>
        <v>Crossgrade network license 1 year</v>
      </c>
      <c r="I98" s="289">
        <f>'Total Price List'!I514</f>
        <v>20.064000000000004</v>
      </c>
      <c r="J98" s="290">
        <f>'Total Price List'!J514</f>
        <v>25.080000000000002</v>
      </c>
      <c r="K98" s="46"/>
    </row>
    <row r="99" spans="1:11" ht="12" customHeight="1" x14ac:dyDescent="0.25">
      <c r="A99" s="93" t="str">
        <f>'Total Price List'!A515</f>
        <v>G Data</v>
      </c>
      <c r="B99" s="48">
        <f>'Total Price List'!B515</f>
        <v>21514</v>
      </c>
      <c r="C99" s="49"/>
      <c r="D99" s="49" t="str">
        <f>'Total Price List'!D515</f>
        <v>Crossgrade 1Y GD CS ENT 50+</v>
      </c>
      <c r="E99" s="49" t="str">
        <f>'Total Price List'!E515</f>
        <v>License 49 &lt; x &lt; 100</v>
      </c>
      <c r="F99" s="48" t="str">
        <f>'Total Price List'!F515</f>
        <v>License</v>
      </c>
      <c r="G99" s="49" t="str">
        <f>'Total Price List'!G515</f>
        <v>G Data ClientSecurity + MailSecurity + Backup</v>
      </c>
      <c r="H99" s="49" t="str">
        <f>'Total Price List'!H515</f>
        <v>Crossgrade network license 1 year</v>
      </c>
      <c r="I99" s="289">
        <f>'Total Price List'!I515</f>
        <v>17.952000000000002</v>
      </c>
      <c r="J99" s="290">
        <f>'Total Price List'!J515</f>
        <v>22.44</v>
      </c>
      <c r="K99" s="46"/>
    </row>
    <row r="100" spans="1:11" ht="12" customHeight="1" x14ac:dyDescent="0.25">
      <c r="A100" s="93" t="str">
        <f>'Total Price List'!A516</f>
        <v>G Data</v>
      </c>
      <c r="B100" s="48">
        <f>'Total Price List'!B516</f>
        <v>21515</v>
      </c>
      <c r="C100" s="49"/>
      <c r="D100" s="49" t="str">
        <f>'Total Price List'!D516</f>
        <v>Crossgrade 1Y GD CS ENT 100+</v>
      </c>
      <c r="E100" s="49" t="str">
        <f>'Total Price List'!E516</f>
        <v>License 99 &lt; x &lt; 250</v>
      </c>
      <c r="F100" s="48" t="str">
        <f>'Total Price List'!F516</f>
        <v>License</v>
      </c>
      <c r="G100" s="49" t="str">
        <f>'Total Price List'!G516</f>
        <v>G Data ClientSecurity + MailSecurity + Backup</v>
      </c>
      <c r="H100" s="49" t="str">
        <f>'Total Price List'!H516</f>
        <v>Crossgrade network license 1 year</v>
      </c>
      <c r="I100" s="289">
        <f>'Total Price List'!I516</f>
        <v>14.784000000000001</v>
      </c>
      <c r="J100" s="290">
        <f>'Total Price List'!J516</f>
        <v>18.48</v>
      </c>
    </row>
    <row r="101" spans="1:11" ht="12" customHeight="1" x14ac:dyDescent="0.25">
      <c r="A101" s="93" t="str">
        <f>'Total Price List'!A517</f>
        <v>G Data</v>
      </c>
      <c r="B101" s="48">
        <f>'Total Price List'!B517</f>
        <v>21516</v>
      </c>
      <c r="C101" s="49"/>
      <c r="D101" s="49" t="str">
        <f>'Total Price List'!D517</f>
        <v>Crossgrade 1Y GD CS ENT 250+</v>
      </c>
      <c r="E101" s="49" t="str">
        <f>'Total Price List'!E517</f>
        <v>License 249 &lt; x &lt; 499</v>
      </c>
      <c r="F101" s="48" t="str">
        <f>'Total Price List'!F517</f>
        <v>License</v>
      </c>
      <c r="G101" s="49" t="str">
        <f>'Total Price List'!G517</f>
        <v>G Data ClientSecurity + MailSecurity + Backup</v>
      </c>
      <c r="H101" s="49" t="str">
        <f>'Total Price List'!H517</f>
        <v>Crossgrade network license 1 year</v>
      </c>
      <c r="I101" s="289">
        <f>'Total Price List'!I517</f>
        <v>12.672000000000001</v>
      </c>
      <c r="J101" s="290">
        <f>'Total Price List'!J517</f>
        <v>12.672000000000001</v>
      </c>
    </row>
    <row r="102" spans="1:11" ht="12" customHeight="1" x14ac:dyDescent="0.25">
      <c r="A102" s="93" t="str">
        <f>'Total Price List'!A518</f>
        <v>G Data</v>
      </c>
      <c r="B102" s="48">
        <f>'Total Price List'!B518</f>
        <v>21517</v>
      </c>
      <c r="C102" s="49"/>
      <c r="D102" s="49" t="str">
        <f>'Total Price List'!D518</f>
        <v>Crossgrade 1Y GD CS ENT 500+</v>
      </c>
      <c r="E102" s="49" t="str">
        <f>'Total Price List'!E518</f>
        <v>License 499 &lt; x &lt; 1000</v>
      </c>
      <c r="F102" s="48" t="str">
        <f>'Total Price List'!F518</f>
        <v>License</v>
      </c>
      <c r="G102" s="49" t="str">
        <f>'Total Price List'!G518</f>
        <v>G Data ClientSecurity + MailSecurity + Backup</v>
      </c>
      <c r="H102" s="49" t="str">
        <f>'Total Price List'!H518</f>
        <v>Crossgrade network license 1 year</v>
      </c>
      <c r="I102" s="289">
        <f>'Total Price List'!I518</f>
        <v>10.56</v>
      </c>
      <c r="J102" s="290">
        <f>'Total Price List'!J518</f>
        <v>10.56</v>
      </c>
    </row>
    <row r="103" spans="1:11" ht="12" customHeight="1" x14ac:dyDescent="0.25">
      <c r="A103" s="93" t="str">
        <f>'Total Price List'!A519</f>
        <v>G Data</v>
      </c>
      <c r="B103" s="48">
        <f>'Total Price List'!B519</f>
        <v>21518</v>
      </c>
      <c r="C103" s="49"/>
      <c r="D103" s="49" t="str">
        <f>'Total Price List'!D519</f>
        <v>Crossgrade 1Y GD CS ENT 1000+</v>
      </c>
      <c r="E103" s="49" t="str">
        <f>'Total Price List'!E519</f>
        <v>License 999 &lt; x &lt; 2500</v>
      </c>
      <c r="F103" s="48" t="str">
        <f>'Total Price List'!F519</f>
        <v>License</v>
      </c>
      <c r="G103" s="49" t="str">
        <f>'Total Price List'!G519</f>
        <v>G Data ClientSecurity + MailSecurity + Backup</v>
      </c>
      <c r="H103" s="49" t="str">
        <f>'Total Price List'!H519</f>
        <v>Crossgrade network license 1 year</v>
      </c>
      <c r="I103" s="289">
        <f>'Total Price List'!I519</f>
        <v>9.5040000000000013</v>
      </c>
      <c r="J103" s="290">
        <f>'Total Price List'!J519</f>
        <v>9.5040000000000013</v>
      </c>
    </row>
    <row r="104" spans="1:11" ht="12" customHeight="1" x14ac:dyDescent="0.25">
      <c r="A104" s="93" t="str">
        <f>'Total Price List'!A520</f>
        <v>G Data</v>
      </c>
      <c r="B104" s="48">
        <f>'Total Price List'!B520</f>
        <v>21521</v>
      </c>
      <c r="C104" s="49"/>
      <c r="D104" s="49" t="str">
        <f>'Total Price List'!D520</f>
        <v>Crossgrade 2Y GD CS ENT -9</v>
      </c>
      <c r="E104" s="49" t="str">
        <f>'Total Price List'!E520</f>
        <v>License 4 &lt; x &lt; 10</v>
      </c>
      <c r="F104" s="48" t="str">
        <f>'Total Price List'!F520</f>
        <v>License</v>
      </c>
      <c r="G104" s="49" t="str">
        <f>'Total Price List'!G520</f>
        <v>G Data ClientSecurity + MailSecurity + Backup</v>
      </c>
      <c r="H104" s="49" t="str">
        <f>'Total Price List'!H520</f>
        <v>Crossgrade network license 2 years</v>
      </c>
      <c r="I104" s="289">
        <f>'Total Price List'!I520</f>
        <v>62.568000000000012</v>
      </c>
      <c r="J104" s="290">
        <f>'Total Price List'!J520</f>
        <v>78.210000000000008</v>
      </c>
      <c r="K104" s="46"/>
    </row>
    <row r="105" spans="1:11" ht="12" customHeight="1" x14ac:dyDescent="0.25">
      <c r="A105" s="93" t="str">
        <f>'Total Price List'!A521</f>
        <v>G Data</v>
      </c>
      <c r="B105" s="48">
        <f>'Total Price List'!B521</f>
        <v>21522</v>
      </c>
      <c r="C105" s="49"/>
      <c r="D105" s="49" t="str">
        <f>'Total Price List'!D521</f>
        <v>Crossgrade 2Y GD CS ENT 10+</v>
      </c>
      <c r="E105" s="49" t="str">
        <f>'Total Price List'!E521</f>
        <v>License 9 &lt; x &lt; 25</v>
      </c>
      <c r="F105" s="48" t="str">
        <f>'Total Price List'!F521</f>
        <v>License</v>
      </c>
      <c r="G105" s="49" t="str">
        <f>'Total Price List'!G521</f>
        <v>G Data ClientSecurity + MailSecurity + Backup</v>
      </c>
      <c r="H105" s="49" t="str">
        <f>'Total Price List'!H521</f>
        <v>Crossgrade network license 2 years</v>
      </c>
      <c r="I105" s="289">
        <f>'Total Price List'!I521</f>
        <v>48.391200000000005</v>
      </c>
      <c r="J105" s="290">
        <f>'Total Price List'!J521</f>
        <v>60.489000000000004</v>
      </c>
      <c r="K105" s="46"/>
    </row>
    <row r="106" spans="1:11" ht="12" customHeight="1" x14ac:dyDescent="0.25">
      <c r="A106" s="93" t="str">
        <f>'Total Price List'!A522</f>
        <v>G Data</v>
      </c>
      <c r="B106" s="48">
        <f>'Total Price List'!B522</f>
        <v>21523</v>
      </c>
      <c r="C106" s="49"/>
      <c r="D106" s="49" t="str">
        <f>'Total Price List'!D522</f>
        <v>Crossgrade 2Y GD CS ENT 25+</v>
      </c>
      <c r="E106" s="49" t="str">
        <f>'Total Price List'!E522</f>
        <v>License 24 &lt; x &lt; 50</v>
      </c>
      <c r="F106" s="48" t="str">
        <f>'Total Price List'!F522</f>
        <v>License</v>
      </c>
      <c r="G106" s="49" t="str">
        <f>'Total Price List'!G522</f>
        <v>G Data ClientSecurity + MailSecurity + Backup</v>
      </c>
      <c r="H106" s="49" t="str">
        <f>'Total Price List'!H522</f>
        <v>Crossgrade network license 2 years</v>
      </c>
      <c r="I106" s="289">
        <f>'Total Price List'!I522</f>
        <v>38.554560000000009</v>
      </c>
      <c r="J106" s="290">
        <f>'Total Price List'!J522</f>
        <v>48.193200000000012</v>
      </c>
      <c r="K106" s="46"/>
    </row>
    <row r="107" spans="1:11" ht="12" customHeight="1" x14ac:dyDescent="0.25">
      <c r="A107" s="93" t="str">
        <f>'Total Price List'!A523</f>
        <v>G Data</v>
      </c>
      <c r="B107" s="48">
        <f>'Total Price List'!B523</f>
        <v>21524</v>
      </c>
      <c r="C107" s="49"/>
      <c r="D107" s="49" t="str">
        <f>'Total Price List'!D523</f>
        <v>Crossgrade 2Y GD CS ENT 50+</v>
      </c>
      <c r="E107" s="49" t="str">
        <f>'Total Price List'!E523</f>
        <v>License 49 &lt; x &lt; 100</v>
      </c>
      <c r="F107" s="48" t="str">
        <f>'Total Price List'!F523</f>
        <v>License</v>
      </c>
      <c r="G107" s="49" t="str">
        <f>'Total Price List'!G523</f>
        <v>G Data ClientSecurity + MailSecurity + Backup</v>
      </c>
      <c r="H107" s="49" t="str">
        <f>'Total Price List'!H523</f>
        <v>Crossgrade network license 2 years</v>
      </c>
      <c r="I107" s="289">
        <f>'Total Price List'!I523</f>
        <v>35.275680000000008</v>
      </c>
      <c r="J107" s="290">
        <f>'Total Price List'!J523</f>
        <v>44.094600000000007</v>
      </c>
      <c r="K107" s="46"/>
    </row>
    <row r="108" spans="1:11" ht="12" customHeight="1" x14ac:dyDescent="0.25">
      <c r="A108" s="93" t="str">
        <f>'Total Price List'!A524</f>
        <v>G Data</v>
      </c>
      <c r="B108" s="48">
        <f>'Total Price List'!B524</f>
        <v>21525</v>
      </c>
      <c r="C108" s="49"/>
      <c r="D108" s="49" t="str">
        <f>'Total Price List'!D524</f>
        <v>Crossgrade 2Y GD CS ENT 100+</v>
      </c>
      <c r="E108" s="49" t="str">
        <f>'Total Price List'!E524</f>
        <v>License 99 &lt; x &lt; 250</v>
      </c>
      <c r="F108" s="48" t="str">
        <f>'Total Price List'!F524</f>
        <v>License</v>
      </c>
      <c r="G108" s="49" t="str">
        <f>'Total Price List'!G524</f>
        <v>G Data ClientSecurity + MailSecurity + Backup</v>
      </c>
      <c r="H108" s="49" t="str">
        <f>'Total Price List'!H524</f>
        <v>Crossgrade network license 2 years</v>
      </c>
      <c r="I108" s="289">
        <f>'Total Price List'!I524</f>
        <v>28.831440000000004</v>
      </c>
      <c r="J108" s="290">
        <f>'Total Price List'!J524</f>
        <v>28.831440000000004</v>
      </c>
    </row>
    <row r="109" spans="1:11" ht="12" customHeight="1" x14ac:dyDescent="0.25">
      <c r="A109" s="93" t="str">
        <f>'Total Price List'!A525</f>
        <v>G Data</v>
      </c>
      <c r="B109" s="48">
        <f>'Total Price List'!B525</f>
        <v>21526</v>
      </c>
      <c r="C109" s="49"/>
      <c r="D109" s="49" t="str">
        <f>'Total Price List'!D525</f>
        <v>Crossgrade 2Y GD CS ENT 250+</v>
      </c>
      <c r="E109" s="49" t="str">
        <f>'Total Price List'!E525</f>
        <v>License 249 &lt; x &lt; 499</v>
      </c>
      <c r="F109" s="48" t="str">
        <f>'Total Price List'!F525</f>
        <v>License</v>
      </c>
      <c r="G109" s="49" t="str">
        <f>'Total Price List'!G525</f>
        <v>G Data ClientSecurity + MailSecurity + Backup</v>
      </c>
      <c r="H109" s="49" t="str">
        <f>'Total Price List'!H525</f>
        <v>Crossgrade network license 2 years</v>
      </c>
      <c r="I109" s="289">
        <f>'Total Price List'!I525</f>
        <v>23.676576000000001</v>
      </c>
      <c r="J109" s="290">
        <f>'Total Price List'!J525</f>
        <v>23.676576000000001</v>
      </c>
    </row>
    <row r="110" spans="1:11" ht="12" customHeight="1" x14ac:dyDescent="0.25">
      <c r="A110" s="93" t="str">
        <f>'Total Price List'!A526</f>
        <v>G Data</v>
      </c>
      <c r="B110" s="48">
        <f>'Total Price List'!B526</f>
        <v>21527</v>
      </c>
      <c r="C110" s="49"/>
      <c r="D110" s="49" t="str">
        <f>'Total Price List'!D526</f>
        <v>Crossgrade 2Y GD CS ENT 500+</v>
      </c>
      <c r="E110" s="49" t="str">
        <f>'Total Price List'!E526</f>
        <v>License 499 &lt; x &lt; 1000</v>
      </c>
      <c r="F110" s="48" t="str">
        <f>'Total Price List'!F526</f>
        <v>License</v>
      </c>
      <c r="G110" s="49" t="str">
        <f>'Total Price List'!G526</f>
        <v>G Data ClientSecurity + MailSecurity + Backup</v>
      </c>
      <c r="H110" s="49" t="str">
        <f>'Total Price List'!H526</f>
        <v>Crossgrade network license 2 years</v>
      </c>
      <c r="I110" s="289">
        <f>'Total Price List'!I526</f>
        <v>20.101488000000003</v>
      </c>
      <c r="J110" s="290">
        <f>'Total Price List'!J526</f>
        <v>20.101488000000003</v>
      </c>
    </row>
    <row r="111" spans="1:11" ht="12" customHeight="1" x14ac:dyDescent="0.25">
      <c r="A111" s="93" t="str">
        <f>'Total Price List'!A527</f>
        <v>G Data</v>
      </c>
      <c r="B111" s="48">
        <f>'Total Price List'!B527</f>
        <v>21528</v>
      </c>
      <c r="C111" s="49"/>
      <c r="D111" s="49" t="str">
        <f>'Total Price List'!D527</f>
        <v>Crossgrade 2Y GD CS ENT 1000+</v>
      </c>
      <c r="E111" s="49" t="str">
        <f>'Total Price List'!E527</f>
        <v>License 999 &lt; x &lt; 2500</v>
      </c>
      <c r="F111" s="48" t="str">
        <f>'Total Price List'!F527</f>
        <v>License</v>
      </c>
      <c r="G111" s="49" t="str">
        <f>'Total Price List'!G527</f>
        <v>G Data ClientSecurity + MailSecurity + Backup</v>
      </c>
      <c r="H111" s="49" t="str">
        <f>'Total Price List'!H527</f>
        <v>Crossgrade network license 2 years</v>
      </c>
      <c r="I111" s="289">
        <f>'Total Price List'!I527</f>
        <v>17.672160000000002</v>
      </c>
      <c r="J111" s="290">
        <f>'Total Price List'!J527</f>
        <v>17.672160000000002</v>
      </c>
    </row>
    <row r="112" spans="1:11" ht="12" customHeight="1" x14ac:dyDescent="0.25">
      <c r="A112" s="93" t="str">
        <f>'Total Price List'!A528</f>
        <v>G Data</v>
      </c>
      <c r="B112" s="48">
        <f>'Total Price List'!B528</f>
        <v>21531</v>
      </c>
      <c r="C112" s="49"/>
      <c r="D112" s="49" t="str">
        <f>'Total Price List'!D528</f>
        <v>Crossgrade 3Y GD CS ENT -9</v>
      </c>
      <c r="E112" s="49" t="str">
        <f>'Total Price List'!E528</f>
        <v>License 4 &lt; x &lt; 10</v>
      </c>
      <c r="F112" s="48" t="str">
        <f>'Total Price List'!F528</f>
        <v>License</v>
      </c>
      <c r="G112" s="49" t="str">
        <f>'Total Price List'!G528</f>
        <v>G Data ClientSecurity + MailSecurity + Backup</v>
      </c>
      <c r="H112" s="49" t="str">
        <f>'Total Price List'!H528</f>
        <v>Crossgrade network license 3 years</v>
      </c>
      <c r="I112" s="289">
        <f>'Total Price List'!I528</f>
        <v>79.398000000000025</v>
      </c>
      <c r="J112" s="290">
        <f>'Total Price List'!J528</f>
        <v>99.247500000000016</v>
      </c>
      <c r="K112" s="46"/>
    </row>
    <row r="113" spans="1:11" ht="12" customHeight="1" x14ac:dyDescent="0.25">
      <c r="A113" s="93" t="str">
        <f>'Total Price List'!A529</f>
        <v>G Data</v>
      </c>
      <c r="B113" s="48">
        <f>'Total Price List'!B529</f>
        <v>21532</v>
      </c>
      <c r="C113" s="49"/>
      <c r="D113" s="49" t="str">
        <f>'Total Price List'!D529</f>
        <v>Crossgrade 3Y GD CS ENT 10+</v>
      </c>
      <c r="E113" s="49" t="str">
        <f>'Total Price List'!E529</f>
        <v>License 9 &lt; x &lt; 25</v>
      </c>
      <c r="F113" s="48" t="str">
        <f>'Total Price List'!F529</f>
        <v>License</v>
      </c>
      <c r="G113" s="49" t="str">
        <f>'Total Price List'!G529</f>
        <v>G Data ClientSecurity + MailSecurity + Backup</v>
      </c>
      <c r="H113" s="49" t="str">
        <f>'Total Price List'!H529</f>
        <v>Crossgrade network license 3 years</v>
      </c>
      <c r="I113" s="289">
        <f>'Total Price List'!I529</f>
        <v>64.884600000000006</v>
      </c>
      <c r="J113" s="290">
        <f>'Total Price List'!J529</f>
        <v>81.10575</v>
      </c>
      <c r="K113" s="46"/>
    </row>
    <row r="114" spans="1:11" ht="12" customHeight="1" x14ac:dyDescent="0.25">
      <c r="A114" s="93" t="str">
        <f>'Total Price List'!A530</f>
        <v>G Data</v>
      </c>
      <c r="B114" s="48">
        <f>'Total Price List'!B530</f>
        <v>21533</v>
      </c>
      <c r="C114" s="49"/>
      <c r="D114" s="49" t="str">
        <f>'Total Price List'!D530</f>
        <v>Crossgrade 3Y GD CS ENT 25+</v>
      </c>
      <c r="E114" s="49" t="str">
        <f>'Total Price List'!E530</f>
        <v>License 24 &lt; x &lt; 50</v>
      </c>
      <c r="F114" s="48" t="str">
        <f>'Total Price List'!F530</f>
        <v>License</v>
      </c>
      <c r="G114" s="49" t="str">
        <f>'Total Price List'!G530</f>
        <v>G Data ClientSecurity + MailSecurity + Backup</v>
      </c>
      <c r="H114" s="49" t="str">
        <f>'Total Price List'!H530</f>
        <v>Crossgrade network license 3 years</v>
      </c>
      <c r="I114" s="289">
        <f>'Total Price List'!I530</f>
        <v>52.422480000000007</v>
      </c>
      <c r="J114" s="290">
        <f>'Total Price List'!J530</f>
        <v>65.528100000000009</v>
      </c>
      <c r="K114" s="46"/>
    </row>
    <row r="115" spans="1:11" ht="12" customHeight="1" x14ac:dyDescent="0.25">
      <c r="A115" s="93" t="str">
        <f>'Total Price List'!A531</f>
        <v>G Data</v>
      </c>
      <c r="B115" s="48">
        <f>'Total Price List'!B531</f>
        <v>21534</v>
      </c>
      <c r="C115" s="49"/>
      <c r="D115" s="49" t="str">
        <f>'Total Price List'!D531</f>
        <v>Crossgrade 3Y GD CS ENT 50+</v>
      </c>
      <c r="E115" s="49" t="str">
        <f>'Total Price List'!E531</f>
        <v>License 49 &lt; x &lt; 100</v>
      </c>
      <c r="F115" s="48" t="str">
        <f>'Total Price List'!F531</f>
        <v>License</v>
      </c>
      <c r="G115" s="49" t="str">
        <f>'Total Price List'!G531</f>
        <v>G Data ClientSecurity + MailSecurity + Backup</v>
      </c>
      <c r="H115" s="49" t="str">
        <f>'Total Price List'!H531</f>
        <v>Crossgrade network license 3 years</v>
      </c>
      <c r="I115" s="289">
        <f>'Total Price List'!I531</f>
        <v>48.268439999999998</v>
      </c>
      <c r="J115" s="290">
        <f>'Total Price List'!J531</f>
        <v>60.335549999999991</v>
      </c>
      <c r="K115" s="46"/>
    </row>
    <row r="116" spans="1:11" ht="12" customHeight="1" x14ac:dyDescent="0.25">
      <c r="A116" s="93" t="str">
        <f>'Total Price List'!A532</f>
        <v>G Data</v>
      </c>
      <c r="B116" s="48">
        <f>'Total Price List'!B532</f>
        <v>21535</v>
      </c>
      <c r="C116" s="49"/>
      <c r="D116" s="49" t="str">
        <f>'Total Price List'!D532</f>
        <v>Crossgrade 3Y GD CS ENT 100+</v>
      </c>
      <c r="E116" s="49" t="str">
        <f>'Total Price List'!E532</f>
        <v>License 99 &lt; x &lt; 250</v>
      </c>
      <c r="F116" s="48" t="str">
        <f>'Total Price List'!F532</f>
        <v>License</v>
      </c>
      <c r="G116" s="49" t="str">
        <f>'Total Price List'!G532</f>
        <v>G Data ClientSecurity + MailSecurity + Backup</v>
      </c>
      <c r="H116" s="49" t="str">
        <f>'Total Price List'!H532</f>
        <v>Crossgrade network license 3 years</v>
      </c>
      <c r="I116" s="289">
        <f>'Total Price List'!I532</f>
        <v>39.367020000000004</v>
      </c>
      <c r="J116" s="290">
        <f>'Total Price List'!J532</f>
        <v>39.367020000000004</v>
      </c>
    </row>
    <row r="117" spans="1:11" ht="12" customHeight="1" x14ac:dyDescent="0.25">
      <c r="A117" s="93" t="str">
        <f>'Total Price List'!A533</f>
        <v>G Data</v>
      </c>
      <c r="B117" s="48">
        <f>'Total Price List'!B533</f>
        <v>21536</v>
      </c>
      <c r="C117" s="49"/>
      <c r="D117" s="49" t="str">
        <f>'Total Price List'!D533</f>
        <v>Crossgrade 3Y GD CS ENT 250+</v>
      </c>
      <c r="E117" s="49" t="str">
        <f>'Total Price List'!E533</f>
        <v>License 249 &lt; x &lt; 499</v>
      </c>
      <c r="F117" s="48" t="str">
        <f>'Total Price List'!F533</f>
        <v>License</v>
      </c>
      <c r="G117" s="49" t="str">
        <f>'Total Price List'!G533</f>
        <v>G Data ClientSecurity + MailSecurity + Backup</v>
      </c>
      <c r="H117" s="49" t="str">
        <f>'Total Price List'!H533</f>
        <v>Crossgrade network license 3 years</v>
      </c>
      <c r="I117" s="289">
        <f>'Total Price List'!I533</f>
        <v>31.930008000000001</v>
      </c>
      <c r="J117" s="290">
        <f>'Total Price List'!J533</f>
        <v>31.930008000000001</v>
      </c>
    </row>
    <row r="118" spans="1:11" ht="12" customHeight="1" x14ac:dyDescent="0.25">
      <c r="A118" s="93" t="str">
        <f>'Total Price List'!A534</f>
        <v>G Data</v>
      </c>
      <c r="B118" s="48">
        <f>'Total Price List'!B534</f>
        <v>21537</v>
      </c>
      <c r="C118" s="49"/>
      <c r="D118" s="49" t="str">
        <f>'Total Price List'!D534</f>
        <v>Crossgrade 3Y GD CS ENT 500+</v>
      </c>
      <c r="E118" s="49" t="str">
        <f>'Total Price List'!E534</f>
        <v>License 499 &lt; x &lt; 1000</v>
      </c>
      <c r="F118" s="48" t="str">
        <f>'Total Price List'!F534</f>
        <v>License</v>
      </c>
      <c r="G118" s="49" t="str">
        <f>'Total Price List'!G534</f>
        <v>G Data ClientSecurity + MailSecurity + Backup</v>
      </c>
      <c r="H118" s="49" t="str">
        <f>'Total Price List'!H534</f>
        <v>Crossgrade network license 3 years</v>
      </c>
      <c r="I118" s="289">
        <f>'Total Price List'!I534</f>
        <v>27.257604000000004</v>
      </c>
      <c r="J118" s="290">
        <f>'Total Price List'!J534</f>
        <v>27.257604000000004</v>
      </c>
    </row>
    <row r="119" spans="1:11" ht="12" customHeight="1" thickBot="1" x14ac:dyDescent="0.3">
      <c r="A119" s="121" t="str">
        <f>'Total Price List'!A535</f>
        <v>G Data</v>
      </c>
      <c r="B119" s="122">
        <f>'Total Price List'!B535</f>
        <v>21538</v>
      </c>
      <c r="C119" s="124"/>
      <c r="D119" s="124" t="str">
        <f>'Total Price List'!D535</f>
        <v>Crossgrade 3Y GD CS ENT 1000+</v>
      </c>
      <c r="E119" s="124" t="str">
        <f>'Total Price List'!E535</f>
        <v>License 999 &lt; x &lt; 2500</v>
      </c>
      <c r="F119" s="122" t="str">
        <f>'Total Price List'!F535</f>
        <v>License</v>
      </c>
      <c r="G119" s="124" t="str">
        <f>'Total Price List'!G535</f>
        <v>G Data ClientSecurity + MailSecurity + Backup</v>
      </c>
      <c r="H119" s="124" t="str">
        <f>'Total Price List'!H535</f>
        <v>Crossgrade network license 3 years</v>
      </c>
      <c r="I119" s="291">
        <f>'Total Price List'!I535</f>
        <v>24.673439999999999</v>
      </c>
      <c r="J119" s="292">
        <f>'Total Price List'!J535</f>
        <v>24.673439999999999</v>
      </c>
    </row>
    <row r="120" spans="1:11" ht="12" customHeight="1" x14ac:dyDescent="0.25">
      <c r="A120" s="114" t="str">
        <f>'Total Price List'!A536</f>
        <v>G Data Crossgrade EndpointProtection Business network license</v>
      </c>
      <c r="B120" s="114"/>
      <c r="C120" s="114"/>
      <c r="D120" s="114"/>
      <c r="E120" s="114"/>
      <c r="F120" s="114"/>
      <c r="G120" s="114"/>
      <c r="H120" s="114"/>
      <c r="I120" s="114"/>
      <c r="J120" s="115"/>
    </row>
    <row r="121" spans="1:11" ht="12" customHeight="1" x14ac:dyDescent="0.25">
      <c r="A121" s="93" t="str">
        <f>'Total Price List'!A537</f>
        <v>G Data</v>
      </c>
      <c r="B121" s="48">
        <f>'Total Price List'!B537</f>
        <v>21911</v>
      </c>
      <c r="C121" s="49"/>
      <c r="D121" s="49" t="str">
        <f>'Total Price List'!D537</f>
        <v>Crossgrade 1Y GD EP BUS -9</v>
      </c>
      <c r="E121" s="49" t="str">
        <f>'Total Price List'!E537</f>
        <v>License 4 &lt; x &lt; 10</v>
      </c>
      <c r="F121" s="48" t="str">
        <f>'Total Price List'!F537</f>
        <v>License</v>
      </c>
      <c r="G121" s="49" t="str">
        <f>'Total Price List'!G537</f>
        <v>G Data EndpointProtection Business</v>
      </c>
      <c r="H121" s="49" t="str">
        <f>'Total Price List'!H537</f>
        <v>Crossgrade network license 1 year</v>
      </c>
      <c r="I121" s="289">
        <f>'Total Price List'!I537</f>
        <v>36.480000000000004</v>
      </c>
      <c r="J121" s="290">
        <f>'Total Price List'!J537</f>
        <v>36.480000000000004</v>
      </c>
      <c r="K121" s="46"/>
    </row>
    <row r="122" spans="1:11" ht="12" customHeight="1" x14ac:dyDescent="0.25">
      <c r="A122" s="93" t="str">
        <f>'Total Price List'!A538</f>
        <v>G Data</v>
      </c>
      <c r="B122" s="48">
        <f>'Total Price List'!B538</f>
        <v>21912</v>
      </c>
      <c r="C122" s="49"/>
      <c r="D122" s="49" t="str">
        <f>'Total Price List'!D538</f>
        <v>Crossgrade 1Y GD EP BUS 10+</v>
      </c>
      <c r="E122" s="49" t="str">
        <f>'Total Price List'!E538</f>
        <v>License 9 &lt; x &lt; 25</v>
      </c>
      <c r="F122" s="48" t="str">
        <f>'Total Price List'!F538</f>
        <v>License</v>
      </c>
      <c r="G122" s="49" t="str">
        <f>'Total Price List'!G538</f>
        <v>G Data EndpointProtection Business</v>
      </c>
      <c r="H122" s="49" t="str">
        <f>'Total Price List'!H538</f>
        <v>Crossgrade network license 1 year</v>
      </c>
      <c r="I122" s="289">
        <f>'Total Price List'!I538</f>
        <v>24</v>
      </c>
      <c r="J122" s="290">
        <f>'Total Price List'!J538</f>
        <v>24</v>
      </c>
      <c r="K122" s="46"/>
    </row>
    <row r="123" spans="1:11" ht="12" customHeight="1" x14ac:dyDescent="0.25">
      <c r="A123" s="93" t="str">
        <f>'Total Price List'!A539</f>
        <v>G Data</v>
      </c>
      <c r="B123" s="48">
        <f>'Total Price List'!B539</f>
        <v>21913</v>
      </c>
      <c r="C123" s="49"/>
      <c r="D123" s="49" t="str">
        <f>'Total Price List'!D539</f>
        <v>Crossgrade 1Y GD EP BUS 25+</v>
      </c>
      <c r="E123" s="49" t="str">
        <f>'Total Price List'!E539</f>
        <v>License 24 &lt; x &lt; 50</v>
      </c>
      <c r="F123" s="48" t="str">
        <f>'Total Price List'!F539</f>
        <v>License</v>
      </c>
      <c r="G123" s="49" t="str">
        <f>'Total Price List'!G539</f>
        <v>G Data EndpointProtection Business</v>
      </c>
      <c r="H123" s="49" t="str">
        <f>'Total Price List'!H539</f>
        <v>Crossgrade network license 1 year</v>
      </c>
      <c r="I123" s="289">
        <f>'Total Price List'!I539</f>
        <v>18.240000000000002</v>
      </c>
      <c r="J123" s="290">
        <f>'Total Price List'!J539</f>
        <v>18.240000000000002</v>
      </c>
      <c r="K123" s="46"/>
    </row>
    <row r="124" spans="1:11" ht="12" customHeight="1" x14ac:dyDescent="0.25">
      <c r="A124" s="93" t="str">
        <f>'Total Price List'!A540</f>
        <v>G Data</v>
      </c>
      <c r="B124" s="48">
        <f>'Total Price List'!B540</f>
        <v>21914</v>
      </c>
      <c r="C124" s="49"/>
      <c r="D124" s="49" t="str">
        <f>'Total Price List'!D540</f>
        <v>Crossgrade 1Y GD EP BUS 50+</v>
      </c>
      <c r="E124" s="49" t="str">
        <f>'Total Price List'!E540</f>
        <v>License 49 &lt; x &lt; 100</v>
      </c>
      <c r="F124" s="48" t="str">
        <f>'Total Price List'!F540</f>
        <v>License</v>
      </c>
      <c r="G124" s="49" t="str">
        <f>'Total Price List'!G540</f>
        <v>G Data EndpointProtection Business</v>
      </c>
      <c r="H124" s="49" t="str">
        <f>'Total Price List'!H540</f>
        <v>Crossgrade network license 1 year</v>
      </c>
      <c r="I124" s="289">
        <f>'Total Price List'!I540</f>
        <v>16.32</v>
      </c>
      <c r="J124" s="290">
        <f>'Total Price List'!J540</f>
        <v>16.32</v>
      </c>
      <c r="K124" s="46"/>
    </row>
    <row r="125" spans="1:11" ht="12" customHeight="1" x14ac:dyDescent="0.25">
      <c r="A125" s="93" t="str">
        <f>'Total Price List'!A541</f>
        <v>G Data</v>
      </c>
      <c r="B125" s="48">
        <f>'Total Price List'!B541</f>
        <v>21915</v>
      </c>
      <c r="C125" s="49"/>
      <c r="D125" s="49" t="str">
        <f>'Total Price List'!D541</f>
        <v>Crossgrade 1Y GD EP BUS 100+</v>
      </c>
      <c r="E125" s="49" t="str">
        <f>'Total Price List'!E541</f>
        <v>License 99 &lt; x &lt; 250</v>
      </c>
      <c r="F125" s="48" t="str">
        <f>'Total Price List'!F541</f>
        <v>License</v>
      </c>
      <c r="G125" s="49" t="str">
        <f>'Total Price List'!G541</f>
        <v>G Data EndpointProtection Business</v>
      </c>
      <c r="H125" s="49" t="str">
        <f>'Total Price List'!H541</f>
        <v>Crossgrade network license 1 year</v>
      </c>
      <c r="I125" s="289">
        <f>'Total Price List'!I541</f>
        <v>13.440000000000001</v>
      </c>
      <c r="J125" s="290">
        <f>'Total Price List'!J541</f>
        <v>13.440000000000001</v>
      </c>
    </row>
    <row r="126" spans="1:11" ht="12" customHeight="1" x14ac:dyDescent="0.25">
      <c r="A126" s="93" t="str">
        <f>'Total Price List'!A542</f>
        <v>G Data</v>
      </c>
      <c r="B126" s="48">
        <f>'Total Price List'!B542</f>
        <v>21916</v>
      </c>
      <c r="C126" s="49"/>
      <c r="D126" s="49" t="str">
        <f>'Total Price List'!D542</f>
        <v>Crossgrade 1Y GD EP BUS 250+</v>
      </c>
      <c r="E126" s="49" t="str">
        <f>'Total Price List'!E542</f>
        <v>License 249 &lt; x &lt; 499</v>
      </c>
      <c r="F126" s="48" t="str">
        <f>'Total Price List'!F542</f>
        <v>License</v>
      </c>
      <c r="G126" s="49" t="str">
        <f>'Total Price List'!G542</f>
        <v>G Data EndpointProtection Business</v>
      </c>
      <c r="H126" s="49" t="str">
        <f>'Total Price List'!H542</f>
        <v>Crossgrade network license 1 year</v>
      </c>
      <c r="I126" s="289">
        <f>'Total Price List'!I542</f>
        <v>11.52</v>
      </c>
      <c r="J126" s="290">
        <f>'Total Price List'!J542</f>
        <v>11.52</v>
      </c>
    </row>
    <row r="127" spans="1:11" ht="12" customHeight="1" x14ac:dyDescent="0.25">
      <c r="A127" s="93" t="str">
        <f>'Total Price List'!A543</f>
        <v>G Data</v>
      </c>
      <c r="B127" s="48">
        <f>'Total Price List'!B543</f>
        <v>21917</v>
      </c>
      <c r="C127" s="49"/>
      <c r="D127" s="49" t="str">
        <f>'Total Price List'!D543</f>
        <v>Crossgrade 1Y GD EP BUS 500+</v>
      </c>
      <c r="E127" s="49" t="str">
        <f>'Total Price List'!E543</f>
        <v>License 499 &lt; x &lt; 1000</v>
      </c>
      <c r="F127" s="48" t="str">
        <f>'Total Price List'!F543</f>
        <v>License</v>
      </c>
      <c r="G127" s="49" t="str">
        <f>'Total Price List'!G543</f>
        <v>G Data EndpointProtection Business</v>
      </c>
      <c r="H127" s="49" t="str">
        <f>'Total Price List'!H543</f>
        <v>Crossgrade network license 1 year</v>
      </c>
      <c r="I127" s="289">
        <f>'Total Price List'!I543</f>
        <v>9.6000000000000014</v>
      </c>
      <c r="J127" s="290">
        <f>'Total Price List'!J543</f>
        <v>9.6000000000000014</v>
      </c>
    </row>
    <row r="128" spans="1:11" ht="12" customHeight="1" x14ac:dyDescent="0.25">
      <c r="A128" s="93" t="str">
        <f>'Total Price List'!A544</f>
        <v>G Data</v>
      </c>
      <c r="B128" s="48">
        <f>'Total Price List'!B544</f>
        <v>21918</v>
      </c>
      <c r="C128" s="49"/>
      <c r="D128" s="49" t="str">
        <f>'Total Price List'!D544</f>
        <v>Crossgrade 1Y GD EP BUS 1000+</v>
      </c>
      <c r="E128" s="49" t="str">
        <f>'Total Price List'!E544</f>
        <v>License 999 &lt; x &lt; 2500</v>
      </c>
      <c r="F128" s="48" t="str">
        <f>'Total Price List'!F544</f>
        <v>License</v>
      </c>
      <c r="G128" s="49" t="str">
        <f>'Total Price List'!G544</f>
        <v>G Data EndpointProtection Business</v>
      </c>
      <c r="H128" s="49" t="str">
        <f>'Total Price List'!H544</f>
        <v>Crossgrade network license 1 year</v>
      </c>
      <c r="I128" s="289">
        <f>'Total Price List'!I544</f>
        <v>8.6399999999999988</v>
      </c>
      <c r="J128" s="290">
        <f>'Total Price List'!J544</f>
        <v>8.6399999999999988</v>
      </c>
    </row>
    <row r="129" spans="1:11" ht="12" customHeight="1" x14ac:dyDescent="0.25">
      <c r="A129" s="93" t="str">
        <f>'Total Price List'!A545</f>
        <v>G Data</v>
      </c>
      <c r="B129" s="48">
        <f>'Total Price List'!B545</f>
        <v>21921</v>
      </c>
      <c r="C129" s="49"/>
      <c r="D129" s="49" t="str">
        <f>'Total Price List'!D545</f>
        <v>Crossgrade 2Y GD EP BUS -9</v>
      </c>
      <c r="E129" s="49" t="str">
        <f>'Total Price List'!E545</f>
        <v>License 4 &lt; x &lt; 10</v>
      </c>
      <c r="F129" s="48" t="str">
        <f>'Total Price List'!F545</f>
        <v>License</v>
      </c>
      <c r="G129" s="49" t="str">
        <f>'Total Price List'!G545</f>
        <v>G Data EndpointProtection Business</v>
      </c>
      <c r="H129" s="49" t="str">
        <f>'Total Price List'!H545</f>
        <v>Crossgrade network license 2 years</v>
      </c>
      <c r="I129" s="289">
        <f>'Total Price List'!I545</f>
        <v>56.879999999999995</v>
      </c>
      <c r="J129" s="290">
        <f>'Total Price List'!J545</f>
        <v>56.879999999999995</v>
      </c>
      <c r="K129" s="46"/>
    </row>
    <row r="130" spans="1:11" ht="12" customHeight="1" x14ac:dyDescent="0.25">
      <c r="A130" s="93" t="str">
        <f>'Total Price List'!A546</f>
        <v>G Data</v>
      </c>
      <c r="B130" s="48">
        <f>'Total Price List'!B546</f>
        <v>21922</v>
      </c>
      <c r="C130" s="49"/>
      <c r="D130" s="49" t="str">
        <f>'Total Price List'!D546</f>
        <v>Crossgrade 2Y GD EP BUS 10+</v>
      </c>
      <c r="E130" s="49" t="str">
        <f>'Total Price List'!E546</f>
        <v>License 9 &lt; x &lt; 25</v>
      </c>
      <c r="F130" s="48" t="str">
        <f>'Total Price List'!F546</f>
        <v>License</v>
      </c>
      <c r="G130" s="49" t="str">
        <f>'Total Price List'!G546</f>
        <v>G Data EndpointProtection Business</v>
      </c>
      <c r="H130" s="49" t="str">
        <f>'Total Price List'!H546</f>
        <v>Crossgrade network license 2 years</v>
      </c>
      <c r="I130" s="289">
        <f>'Total Price List'!I546</f>
        <v>43.992000000000004</v>
      </c>
      <c r="J130" s="290">
        <f>'Total Price List'!J546</f>
        <v>43.992000000000004</v>
      </c>
      <c r="K130" s="46"/>
    </row>
    <row r="131" spans="1:11" ht="12" customHeight="1" x14ac:dyDescent="0.25">
      <c r="A131" s="93" t="str">
        <f>'Total Price List'!A547</f>
        <v>G Data</v>
      </c>
      <c r="B131" s="48">
        <f>'Total Price List'!B547</f>
        <v>21923</v>
      </c>
      <c r="C131" s="49"/>
      <c r="D131" s="49" t="str">
        <f>'Total Price List'!D547</f>
        <v>Crossgrade 2Y GD EP BUS 25+</v>
      </c>
      <c r="E131" s="49" t="str">
        <f>'Total Price List'!E547</f>
        <v>License 24 &lt; x &lt; 50</v>
      </c>
      <c r="F131" s="48" t="str">
        <f>'Total Price List'!F547</f>
        <v>License</v>
      </c>
      <c r="G131" s="49" t="str">
        <f>'Total Price List'!G547</f>
        <v>G Data EndpointProtection Business</v>
      </c>
      <c r="H131" s="49" t="str">
        <f>'Total Price List'!H547</f>
        <v>Crossgrade network license 2 years</v>
      </c>
      <c r="I131" s="289">
        <f>'Total Price List'!I547</f>
        <v>35.049600000000005</v>
      </c>
      <c r="J131" s="290">
        <f>'Total Price List'!J547</f>
        <v>35.049600000000005</v>
      </c>
      <c r="K131" s="46"/>
    </row>
    <row r="132" spans="1:11" ht="12" customHeight="1" x14ac:dyDescent="0.25">
      <c r="A132" s="93" t="str">
        <f>'Total Price List'!A548</f>
        <v>G Data</v>
      </c>
      <c r="B132" s="48">
        <f>'Total Price List'!B548</f>
        <v>21924</v>
      </c>
      <c r="C132" s="49"/>
      <c r="D132" s="49" t="str">
        <f>'Total Price List'!D548</f>
        <v>Crossgrade 2Y GD EP BUS 50+</v>
      </c>
      <c r="E132" s="49" t="str">
        <f>'Total Price List'!E548</f>
        <v>License 49 &lt; x &lt; 100</v>
      </c>
      <c r="F132" s="48" t="str">
        <f>'Total Price List'!F548</f>
        <v>License</v>
      </c>
      <c r="G132" s="49" t="str">
        <f>'Total Price List'!G548</f>
        <v>G Data EndpointProtection Business</v>
      </c>
      <c r="H132" s="49" t="str">
        <f>'Total Price List'!H548</f>
        <v>Crossgrade network license 2 years</v>
      </c>
      <c r="I132" s="289">
        <f>'Total Price List'!I548</f>
        <v>32.068800000000003</v>
      </c>
      <c r="J132" s="290">
        <f>'Total Price List'!J548</f>
        <v>32.068800000000003</v>
      </c>
      <c r="K132" s="46"/>
    </row>
    <row r="133" spans="1:11" ht="12" customHeight="1" x14ac:dyDescent="0.25">
      <c r="A133" s="93" t="str">
        <f>'Total Price List'!A549</f>
        <v>G Data</v>
      </c>
      <c r="B133" s="48">
        <f>'Total Price List'!B549</f>
        <v>21925</v>
      </c>
      <c r="C133" s="49"/>
      <c r="D133" s="49" t="str">
        <f>'Total Price List'!D549</f>
        <v>Crossgrade 2Y GD EP BUS 100+</v>
      </c>
      <c r="E133" s="49" t="str">
        <f>'Total Price List'!E549</f>
        <v>License 99 &lt; x &lt; 250</v>
      </c>
      <c r="F133" s="48" t="str">
        <f>'Total Price List'!F549</f>
        <v>License</v>
      </c>
      <c r="G133" s="49" t="str">
        <f>'Total Price List'!G549</f>
        <v>G Data EndpointProtection Business</v>
      </c>
      <c r="H133" s="49" t="str">
        <f>'Total Price List'!H549</f>
        <v>Crossgrade network license 2 years</v>
      </c>
      <c r="I133" s="289">
        <f>'Total Price List'!I549</f>
        <v>26.2104</v>
      </c>
      <c r="J133" s="290">
        <f>'Total Price List'!J549</f>
        <v>26.2104</v>
      </c>
    </row>
    <row r="134" spans="1:11" ht="12" customHeight="1" x14ac:dyDescent="0.25">
      <c r="A134" s="93" t="str">
        <f>'Total Price List'!A550</f>
        <v>G Data</v>
      </c>
      <c r="B134" s="48">
        <f>'Total Price List'!B550</f>
        <v>21926</v>
      </c>
      <c r="C134" s="49"/>
      <c r="D134" s="49" t="str">
        <f>'Total Price List'!D550</f>
        <v>Crossgrade 2Y GD EP BUS 250+</v>
      </c>
      <c r="E134" s="49" t="str">
        <f>'Total Price List'!E550</f>
        <v>License 249 &lt; x &lt; 499</v>
      </c>
      <c r="F134" s="48" t="str">
        <f>'Total Price List'!F550</f>
        <v>License</v>
      </c>
      <c r="G134" s="49" t="str">
        <f>'Total Price List'!G550</f>
        <v>G Data EndpointProtection Business</v>
      </c>
      <c r="H134" s="49" t="str">
        <f>'Total Price List'!H550</f>
        <v>Crossgrade network license 2 years</v>
      </c>
      <c r="I134" s="289">
        <f>'Total Price List'!I550</f>
        <v>21.524159999999998</v>
      </c>
      <c r="J134" s="290">
        <f>'Total Price List'!J550</f>
        <v>21.524159999999998</v>
      </c>
    </row>
    <row r="135" spans="1:11" ht="12" customHeight="1" x14ac:dyDescent="0.25">
      <c r="A135" s="93" t="str">
        <f>'Total Price List'!A551</f>
        <v>G Data</v>
      </c>
      <c r="B135" s="48">
        <f>'Total Price List'!B551</f>
        <v>21927</v>
      </c>
      <c r="C135" s="49"/>
      <c r="D135" s="49" t="str">
        <f>'Total Price List'!D551</f>
        <v>Crossgrade 2Y GD EP BUS 500+</v>
      </c>
      <c r="E135" s="49" t="str">
        <f>'Total Price List'!E551</f>
        <v>License 499 &lt; x &lt; 1000</v>
      </c>
      <c r="F135" s="48" t="str">
        <f>'Total Price List'!F551</f>
        <v>License</v>
      </c>
      <c r="G135" s="49" t="str">
        <f>'Total Price List'!G551</f>
        <v>G Data EndpointProtection Business</v>
      </c>
      <c r="H135" s="49" t="str">
        <f>'Total Price List'!H551</f>
        <v>Crossgrade network license 2 years</v>
      </c>
      <c r="I135" s="289">
        <f>'Total Price List'!I551</f>
        <v>18.274079999999998</v>
      </c>
      <c r="J135" s="290">
        <f>'Total Price List'!J551</f>
        <v>18.274079999999998</v>
      </c>
    </row>
    <row r="136" spans="1:11" ht="12" customHeight="1" x14ac:dyDescent="0.25">
      <c r="A136" s="93" t="str">
        <f>'Total Price List'!A552</f>
        <v>G Data</v>
      </c>
      <c r="B136" s="48">
        <f>'Total Price List'!B552</f>
        <v>21928</v>
      </c>
      <c r="C136" s="49"/>
      <c r="D136" s="49" t="str">
        <f>'Total Price List'!D552</f>
        <v>Crossgrade 2Y GD EP BUS 1000+</v>
      </c>
      <c r="E136" s="49" t="str">
        <f>'Total Price List'!E552</f>
        <v>License 999 &lt; x &lt; 2500</v>
      </c>
      <c r="F136" s="48" t="str">
        <f>'Total Price List'!F552</f>
        <v>License</v>
      </c>
      <c r="G136" s="49" t="str">
        <f>'Total Price List'!G552</f>
        <v>G Data EndpointProtection Business</v>
      </c>
      <c r="H136" s="49" t="str">
        <f>'Total Price List'!H552</f>
        <v>Crossgrade network license 2 years</v>
      </c>
      <c r="I136" s="289">
        <f>'Total Price List'!I552</f>
        <v>16.0656</v>
      </c>
      <c r="J136" s="290">
        <f>'Total Price List'!J552</f>
        <v>16.0656</v>
      </c>
    </row>
    <row r="137" spans="1:11" ht="12" customHeight="1" x14ac:dyDescent="0.25">
      <c r="A137" s="93" t="str">
        <f>'Total Price List'!A553</f>
        <v>G Data</v>
      </c>
      <c r="B137" s="48">
        <f>'Total Price List'!B553</f>
        <v>21931</v>
      </c>
      <c r="C137" s="49"/>
      <c r="D137" s="49" t="str">
        <f>'Total Price List'!D553</f>
        <v>Crossgrade 3Y GD EP BUS -9</v>
      </c>
      <c r="E137" s="49" t="str">
        <f>'Total Price List'!E553</f>
        <v>License 4 &lt; x &lt; 10</v>
      </c>
      <c r="F137" s="48" t="str">
        <f>'Total Price List'!F553</f>
        <v>License</v>
      </c>
      <c r="G137" s="49" t="str">
        <f>'Total Price List'!G553</f>
        <v>G Data EndpointProtection Business</v>
      </c>
      <c r="H137" s="49" t="str">
        <f>'Total Price List'!H553</f>
        <v>Crossgrade network license 3 years</v>
      </c>
      <c r="I137" s="289">
        <f>'Total Price List'!I553</f>
        <v>72.179999999999993</v>
      </c>
      <c r="J137" s="290">
        <f>'Total Price List'!J553</f>
        <v>72.179999999999993</v>
      </c>
      <c r="K137" s="46"/>
    </row>
    <row r="138" spans="1:11" ht="12" customHeight="1" x14ac:dyDescent="0.25">
      <c r="A138" s="93" t="str">
        <f>'Total Price List'!A554</f>
        <v>G Data</v>
      </c>
      <c r="B138" s="48">
        <f>'Total Price List'!B554</f>
        <v>21932</v>
      </c>
      <c r="C138" s="49"/>
      <c r="D138" s="49" t="str">
        <f>'Total Price List'!D554</f>
        <v>Crossgrade 3Y GD EP BUS 10+</v>
      </c>
      <c r="E138" s="49" t="str">
        <f>'Total Price List'!E554</f>
        <v>License 9 &lt; x &lt; 25</v>
      </c>
      <c r="F138" s="48" t="str">
        <f>'Total Price List'!F554</f>
        <v>License</v>
      </c>
      <c r="G138" s="49" t="str">
        <f>'Total Price List'!G554</f>
        <v>G Data EndpointProtection Business</v>
      </c>
      <c r="H138" s="49" t="str">
        <f>'Total Price List'!H554</f>
        <v>Crossgrade network license 3 years</v>
      </c>
      <c r="I138" s="289">
        <f>'Total Price List'!I554</f>
        <v>58.986000000000004</v>
      </c>
      <c r="J138" s="290">
        <f>'Total Price List'!J554</f>
        <v>58.986000000000004</v>
      </c>
      <c r="K138" s="46"/>
    </row>
    <row r="139" spans="1:11" ht="12" customHeight="1" x14ac:dyDescent="0.25">
      <c r="A139" s="93" t="str">
        <f>'Total Price List'!A555</f>
        <v>G Data</v>
      </c>
      <c r="B139" s="48">
        <f>'Total Price List'!B555</f>
        <v>21933</v>
      </c>
      <c r="C139" s="49"/>
      <c r="D139" s="49" t="str">
        <f>'Total Price List'!D555</f>
        <v>Crossgrade 3Y GD EP BUS 25+</v>
      </c>
      <c r="E139" s="49" t="str">
        <f>'Total Price List'!E555</f>
        <v>License 24 &lt; x &lt; 50</v>
      </c>
      <c r="F139" s="48" t="str">
        <f>'Total Price List'!F555</f>
        <v>License</v>
      </c>
      <c r="G139" s="49" t="str">
        <f>'Total Price List'!G555</f>
        <v>G Data EndpointProtection Business</v>
      </c>
      <c r="H139" s="49" t="str">
        <f>'Total Price List'!H555</f>
        <v>Crossgrade network license 3 years</v>
      </c>
      <c r="I139" s="289">
        <f>'Total Price List'!I555</f>
        <v>47.656800000000004</v>
      </c>
      <c r="J139" s="290">
        <f>'Total Price List'!J555</f>
        <v>47.656800000000004</v>
      </c>
      <c r="K139" s="46"/>
    </row>
    <row r="140" spans="1:11" ht="12" customHeight="1" x14ac:dyDescent="0.25">
      <c r="A140" s="93" t="str">
        <f>'Total Price List'!A556</f>
        <v>G Data</v>
      </c>
      <c r="B140" s="48">
        <f>'Total Price List'!B556</f>
        <v>21934</v>
      </c>
      <c r="C140" s="49"/>
      <c r="D140" s="49" t="str">
        <f>'Total Price List'!D556</f>
        <v>Crossgrade 3Y GD EP BUS 50+</v>
      </c>
      <c r="E140" s="49" t="str">
        <f>'Total Price List'!E556</f>
        <v>License 49 &lt; x &lt; 100</v>
      </c>
      <c r="F140" s="48" t="str">
        <f>'Total Price List'!F556</f>
        <v>License</v>
      </c>
      <c r="G140" s="49" t="str">
        <f>'Total Price List'!G556</f>
        <v>G Data EndpointProtection Business</v>
      </c>
      <c r="H140" s="49" t="str">
        <f>'Total Price List'!H556</f>
        <v>Crossgrade network license 3 years</v>
      </c>
      <c r="I140" s="289">
        <f>'Total Price List'!I556</f>
        <v>43.880399999999995</v>
      </c>
      <c r="J140" s="290">
        <f>'Total Price List'!J556</f>
        <v>43.880399999999995</v>
      </c>
      <c r="K140" s="46"/>
    </row>
    <row r="141" spans="1:11" ht="12" customHeight="1" x14ac:dyDescent="0.25">
      <c r="A141" s="93" t="str">
        <f>'Total Price List'!A557</f>
        <v>G Data</v>
      </c>
      <c r="B141" s="48">
        <f>'Total Price List'!B557</f>
        <v>21935</v>
      </c>
      <c r="C141" s="49"/>
      <c r="D141" s="49" t="str">
        <f>'Total Price List'!D557</f>
        <v>Crossgrade 3Y GD EP BUS 100+</v>
      </c>
      <c r="E141" s="49" t="str">
        <f>'Total Price List'!E557</f>
        <v>License 99 &lt; x &lt; 250</v>
      </c>
      <c r="F141" s="48" t="str">
        <f>'Total Price List'!F557</f>
        <v>License</v>
      </c>
      <c r="G141" s="49" t="str">
        <f>'Total Price List'!G557</f>
        <v>G Data EndpointProtection Business</v>
      </c>
      <c r="H141" s="49" t="str">
        <f>'Total Price List'!H557</f>
        <v>Crossgrade network license 3 years</v>
      </c>
      <c r="I141" s="289">
        <f>'Total Price List'!I557</f>
        <v>35.788200000000003</v>
      </c>
      <c r="J141" s="290">
        <f>'Total Price List'!J557</f>
        <v>35.788200000000003</v>
      </c>
    </row>
    <row r="142" spans="1:11" ht="12" customHeight="1" x14ac:dyDescent="0.25">
      <c r="A142" s="93" t="str">
        <f>'Total Price List'!A558</f>
        <v>G Data</v>
      </c>
      <c r="B142" s="48">
        <f>'Total Price List'!B558</f>
        <v>21936</v>
      </c>
      <c r="C142" s="49"/>
      <c r="D142" s="49" t="str">
        <f>'Total Price List'!D558</f>
        <v>Crossgrade 3Y GD EP BUS 250+</v>
      </c>
      <c r="E142" s="49" t="str">
        <f>'Total Price List'!E558</f>
        <v>License 249 &lt; x &lt; 499</v>
      </c>
      <c r="F142" s="48" t="str">
        <f>'Total Price List'!F558</f>
        <v>License</v>
      </c>
      <c r="G142" s="49" t="str">
        <f>'Total Price List'!G558</f>
        <v>G Data EndpointProtection Business</v>
      </c>
      <c r="H142" s="49" t="str">
        <f>'Total Price List'!H558</f>
        <v>Crossgrade network license 3 years</v>
      </c>
      <c r="I142" s="289">
        <f>'Total Price List'!I558</f>
        <v>29.027279999999998</v>
      </c>
      <c r="J142" s="290">
        <f>'Total Price List'!J558</f>
        <v>29.027279999999998</v>
      </c>
    </row>
    <row r="143" spans="1:11" ht="12" customHeight="1" x14ac:dyDescent="0.25">
      <c r="A143" s="93" t="str">
        <f>'Total Price List'!A559</f>
        <v>G Data</v>
      </c>
      <c r="B143" s="48">
        <f>'Total Price List'!B559</f>
        <v>21937</v>
      </c>
      <c r="C143" s="49"/>
      <c r="D143" s="49" t="str">
        <f>'Total Price List'!D559</f>
        <v>Crossgrade 3Y GD EP BUS 500+</v>
      </c>
      <c r="E143" s="49" t="str">
        <f>'Total Price List'!E559</f>
        <v>License 499 &lt; x &lt; 1000</v>
      </c>
      <c r="F143" s="48" t="str">
        <f>'Total Price List'!F559</f>
        <v>License</v>
      </c>
      <c r="G143" s="49" t="str">
        <f>'Total Price List'!G559</f>
        <v>G Data EndpointProtection Business</v>
      </c>
      <c r="H143" s="49" t="str">
        <f>'Total Price List'!H559</f>
        <v>Crossgrade network license 3 years</v>
      </c>
      <c r="I143" s="289">
        <f>'Total Price List'!I559</f>
        <v>24.779640000000001</v>
      </c>
      <c r="J143" s="290">
        <f>'Total Price List'!J559</f>
        <v>24.779640000000001</v>
      </c>
    </row>
    <row r="144" spans="1:11" ht="12" customHeight="1" thickBot="1" x14ac:dyDescent="0.3">
      <c r="A144" s="121" t="str">
        <f>'Total Price List'!A560</f>
        <v>G Data</v>
      </c>
      <c r="B144" s="122">
        <f>'Total Price List'!B560</f>
        <v>21938</v>
      </c>
      <c r="C144" s="124"/>
      <c r="D144" s="124" t="str">
        <f>'Total Price List'!D560</f>
        <v>Crossgrade 3Y GD EP BUS 1000+</v>
      </c>
      <c r="E144" s="124" t="str">
        <f>'Total Price List'!E560</f>
        <v>License 999 &lt; x &lt; 2500</v>
      </c>
      <c r="F144" s="122" t="str">
        <f>'Total Price List'!F560</f>
        <v>License</v>
      </c>
      <c r="G144" s="124" t="str">
        <f>'Total Price List'!G560</f>
        <v>G Data EndpointProtection Business</v>
      </c>
      <c r="H144" s="124" t="str">
        <f>'Total Price List'!H560</f>
        <v>Crossgrade network license 3 years</v>
      </c>
      <c r="I144" s="291">
        <f>'Total Price List'!I560</f>
        <v>22.430399999999999</v>
      </c>
      <c r="J144" s="292">
        <f>'Total Price List'!J560</f>
        <v>22.430399999999999</v>
      </c>
    </row>
    <row r="145" spans="1:11" ht="12" customHeight="1" x14ac:dyDescent="0.25">
      <c r="A145" s="114" t="str">
        <f>'Total Price List'!A561</f>
        <v>G Data Crossgrade EndpointProtection + MailSecurity + Backup network license</v>
      </c>
      <c r="B145" s="114"/>
      <c r="C145" s="114"/>
      <c r="D145" s="114"/>
      <c r="E145" s="114"/>
      <c r="F145" s="114"/>
      <c r="G145" s="114"/>
      <c r="H145" s="114"/>
      <c r="I145" s="114"/>
      <c r="J145" s="115"/>
    </row>
    <row r="146" spans="1:11" ht="12" customHeight="1" x14ac:dyDescent="0.25">
      <c r="A146" s="93" t="str">
        <f>'Total Price List'!A562</f>
        <v>G Data</v>
      </c>
      <c r="B146" s="48">
        <f>'Total Price List'!B562</f>
        <v>22011</v>
      </c>
      <c r="C146" s="49"/>
      <c r="D146" s="49" t="str">
        <f>'Total Price List'!D562</f>
        <v>Crossgrade 1Y GD EP ENT -9</v>
      </c>
      <c r="E146" s="49" t="str">
        <f>'Total Price List'!E562</f>
        <v>License 4 &lt; x &lt; 10</v>
      </c>
      <c r="F146" s="48" t="str">
        <f>'Total Price List'!F562</f>
        <v>License</v>
      </c>
      <c r="G146" s="49" t="str">
        <f>'Total Price List'!G562</f>
        <v>G Data EndpointProtection + MailSecurity + Backup</v>
      </c>
      <c r="H146" s="49" t="str">
        <f>'Total Price List'!H562</f>
        <v>Crossgrade network license 1 year</v>
      </c>
      <c r="I146" s="289">
        <f>'Total Price List'!I562</f>
        <v>43.776000000000003</v>
      </c>
      <c r="J146" s="290">
        <f>'Total Price List'!J562</f>
        <v>43.776000000000003</v>
      </c>
      <c r="K146" s="46"/>
    </row>
    <row r="147" spans="1:11" ht="12" customHeight="1" x14ac:dyDescent="0.25">
      <c r="A147" s="93" t="str">
        <f>'Total Price List'!A563</f>
        <v>G Data</v>
      </c>
      <c r="B147" s="48">
        <f>'Total Price List'!B563</f>
        <v>22012</v>
      </c>
      <c r="C147" s="49"/>
      <c r="D147" s="49" t="str">
        <f>'Total Price List'!D563</f>
        <v>Crossgrade 1Y GD EP ENT 10+</v>
      </c>
      <c r="E147" s="49" t="str">
        <f>'Total Price List'!E563</f>
        <v>License 9 &lt; x &lt; 25</v>
      </c>
      <c r="F147" s="48" t="str">
        <f>'Total Price List'!F563</f>
        <v>License</v>
      </c>
      <c r="G147" s="49" t="str">
        <f>'Total Price List'!G563</f>
        <v>G Data EndpointProtection + MailSecurity + Backup</v>
      </c>
      <c r="H147" s="49" t="str">
        <f>'Total Price List'!H563</f>
        <v>Crossgrade network license 1 year</v>
      </c>
      <c r="I147" s="289">
        <f>'Total Price List'!I563</f>
        <v>28.8</v>
      </c>
      <c r="J147" s="290">
        <f>'Total Price List'!J563</f>
        <v>28.8</v>
      </c>
      <c r="K147" s="46"/>
    </row>
    <row r="148" spans="1:11" ht="12" customHeight="1" x14ac:dyDescent="0.25">
      <c r="A148" s="93" t="str">
        <f>'Total Price List'!A564</f>
        <v>G Data</v>
      </c>
      <c r="B148" s="48">
        <f>'Total Price List'!B564</f>
        <v>22013</v>
      </c>
      <c r="C148" s="49"/>
      <c r="D148" s="49" t="str">
        <f>'Total Price List'!D564</f>
        <v>Crossgrade 1Y GD EP ENT 25+</v>
      </c>
      <c r="E148" s="49" t="str">
        <f>'Total Price List'!E564</f>
        <v>License 24 &lt; x &lt; 50</v>
      </c>
      <c r="F148" s="48" t="str">
        <f>'Total Price List'!F564</f>
        <v>License</v>
      </c>
      <c r="G148" s="49" t="str">
        <f>'Total Price List'!G564</f>
        <v>G Data EndpointProtection + MailSecurity + Backup</v>
      </c>
      <c r="H148" s="49" t="str">
        <f>'Total Price List'!H564</f>
        <v>Crossgrade network license 1 year</v>
      </c>
      <c r="I148" s="289">
        <f>'Total Price List'!I564</f>
        <v>21.888000000000002</v>
      </c>
      <c r="J148" s="290">
        <f>'Total Price List'!J564</f>
        <v>21.888000000000002</v>
      </c>
      <c r="K148" s="46"/>
    </row>
    <row r="149" spans="1:11" ht="12" customHeight="1" x14ac:dyDescent="0.25">
      <c r="A149" s="93" t="str">
        <f>'Total Price List'!A565</f>
        <v>G Data</v>
      </c>
      <c r="B149" s="48">
        <f>'Total Price List'!B565</f>
        <v>22014</v>
      </c>
      <c r="C149" s="49"/>
      <c r="D149" s="49" t="str">
        <f>'Total Price List'!D565</f>
        <v>Crossgrade 1Y GD EP ENT 50+</v>
      </c>
      <c r="E149" s="49" t="str">
        <f>'Total Price List'!E565</f>
        <v>License 49 &lt; x &lt; 100</v>
      </c>
      <c r="F149" s="48" t="str">
        <f>'Total Price List'!F565</f>
        <v>License</v>
      </c>
      <c r="G149" s="49" t="str">
        <f>'Total Price List'!G565</f>
        <v>G Data EndpointProtection + MailSecurity + Backup</v>
      </c>
      <c r="H149" s="49" t="str">
        <f>'Total Price List'!H565</f>
        <v>Crossgrade network license 1 year</v>
      </c>
      <c r="I149" s="289">
        <f>'Total Price List'!I565</f>
        <v>19.584</v>
      </c>
      <c r="J149" s="290">
        <f>'Total Price List'!J565</f>
        <v>19.584</v>
      </c>
      <c r="K149" s="46"/>
    </row>
    <row r="150" spans="1:11" ht="12" customHeight="1" x14ac:dyDescent="0.25">
      <c r="A150" s="93" t="str">
        <f>'Total Price List'!A566</f>
        <v>G Data</v>
      </c>
      <c r="B150" s="48">
        <f>'Total Price List'!B566</f>
        <v>22015</v>
      </c>
      <c r="C150" s="49"/>
      <c r="D150" s="49" t="str">
        <f>'Total Price List'!D566</f>
        <v>Crossgrade 1Y GD EP ENT 100+</v>
      </c>
      <c r="E150" s="49" t="str">
        <f>'Total Price List'!E566</f>
        <v>License 99 &lt; x &lt; 250</v>
      </c>
      <c r="F150" s="48" t="str">
        <f>'Total Price List'!F566</f>
        <v>License</v>
      </c>
      <c r="G150" s="49" t="str">
        <f>'Total Price List'!G566</f>
        <v>G Data EndpointProtection + MailSecurity + Backup</v>
      </c>
      <c r="H150" s="49" t="str">
        <f>'Total Price List'!H566</f>
        <v>Crossgrade network license 1 year</v>
      </c>
      <c r="I150" s="289">
        <f>'Total Price List'!I566</f>
        <v>16.128</v>
      </c>
      <c r="J150" s="290">
        <f>'Total Price List'!J566</f>
        <v>16.128</v>
      </c>
    </row>
    <row r="151" spans="1:11" ht="12" customHeight="1" x14ac:dyDescent="0.25">
      <c r="A151" s="93" t="str">
        <f>'Total Price List'!A567</f>
        <v>G Data</v>
      </c>
      <c r="B151" s="48">
        <f>'Total Price List'!B567</f>
        <v>22016</v>
      </c>
      <c r="C151" s="49"/>
      <c r="D151" s="49" t="str">
        <f>'Total Price List'!D567</f>
        <v>Crossgrade 1Y GD EP ENT 250+</v>
      </c>
      <c r="E151" s="49" t="str">
        <f>'Total Price List'!E567</f>
        <v>License 249 &lt; x &lt; 499</v>
      </c>
      <c r="F151" s="48" t="str">
        <f>'Total Price List'!F567</f>
        <v>License</v>
      </c>
      <c r="G151" s="49" t="str">
        <f>'Total Price List'!G567</f>
        <v>G Data EndpointProtection + MailSecurity + Backup</v>
      </c>
      <c r="H151" s="49" t="str">
        <f>'Total Price List'!H567</f>
        <v>Crossgrade network license 1 year</v>
      </c>
      <c r="I151" s="289">
        <f>'Total Price List'!I567</f>
        <v>13.823999999999998</v>
      </c>
      <c r="J151" s="290">
        <f>'Total Price List'!J567</f>
        <v>13.823999999999998</v>
      </c>
    </row>
    <row r="152" spans="1:11" ht="12" customHeight="1" x14ac:dyDescent="0.25">
      <c r="A152" s="93" t="str">
        <f>'Total Price List'!A568</f>
        <v>G Data</v>
      </c>
      <c r="B152" s="48">
        <f>'Total Price List'!B568</f>
        <v>22017</v>
      </c>
      <c r="C152" s="49"/>
      <c r="D152" s="49" t="str">
        <f>'Total Price List'!D568</f>
        <v>Crossgrade 1Y GD EP ENT 500+</v>
      </c>
      <c r="E152" s="49" t="str">
        <f>'Total Price List'!E568</f>
        <v>License 499 &lt; x &lt; 1000</v>
      </c>
      <c r="F152" s="48" t="str">
        <f>'Total Price List'!F568</f>
        <v>License</v>
      </c>
      <c r="G152" s="49" t="str">
        <f>'Total Price List'!G568</f>
        <v>G Data EndpointProtection + MailSecurity + Backup</v>
      </c>
      <c r="H152" s="49" t="str">
        <f>'Total Price List'!H568</f>
        <v>Crossgrade network license 1 year</v>
      </c>
      <c r="I152" s="289">
        <f>'Total Price List'!I568</f>
        <v>11.52</v>
      </c>
      <c r="J152" s="290">
        <f>'Total Price List'!J568</f>
        <v>11.52</v>
      </c>
    </row>
    <row r="153" spans="1:11" ht="12" customHeight="1" x14ac:dyDescent="0.25">
      <c r="A153" s="93" t="str">
        <f>'Total Price List'!A569</f>
        <v>G Data</v>
      </c>
      <c r="B153" s="48">
        <f>'Total Price List'!B569</f>
        <v>22018</v>
      </c>
      <c r="C153" s="49"/>
      <c r="D153" s="49" t="str">
        <f>'Total Price List'!D569</f>
        <v>Crossgrade 1Y GD EP ENT 1000+</v>
      </c>
      <c r="E153" s="49" t="str">
        <f>'Total Price List'!E569</f>
        <v>License 999 &lt; x &lt; 2500</v>
      </c>
      <c r="F153" s="48" t="str">
        <f>'Total Price List'!F569</f>
        <v>License</v>
      </c>
      <c r="G153" s="49" t="str">
        <f>'Total Price List'!G569</f>
        <v>G Data EndpointProtection + MailSecurity + Backup</v>
      </c>
      <c r="H153" s="49" t="str">
        <f>'Total Price List'!H569</f>
        <v>Crossgrade network license 1 year</v>
      </c>
      <c r="I153" s="289">
        <f>'Total Price List'!I569</f>
        <v>10.368</v>
      </c>
      <c r="J153" s="290">
        <f>'Total Price List'!J569</f>
        <v>10.368</v>
      </c>
    </row>
    <row r="154" spans="1:11" ht="12" customHeight="1" x14ac:dyDescent="0.25">
      <c r="A154" s="93" t="str">
        <f>'Total Price List'!A570</f>
        <v>G Data</v>
      </c>
      <c r="B154" s="48">
        <f>'Total Price List'!B570</f>
        <v>22021</v>
      </c>
      <c r="C154" s="49"/>
      <c r="D154" s="49" t="str">
        <f>'Total Price List'!D570</f>
        <v>Crossgrade 2Y GD EP ENT -9</v>
      </c>
      <c r="E154" s="49" t="str">
        <f>'Total Price List'!E570</f>
        <v>License 4 &lt; x &lt; 10</v>
      </c>
      <c r="F154" s="48" t="str">
        <f>'Total Price List'!F570</f>
        <v>License</v>
      </c>
      <c r="G154" s="49" t="str">
        <f>'Total Price List'!G570</f>
        <v>G Data EndpointProtection + MailSecurity + Backup</v>
      </c>
      <c r="H154" s="49" t="str">
        <f>'Total Price List'!H570</f>
        <v>Crossgrade network license 2 years</v>
      </c>
      <c r="I154" s="289">
        <f>'Total Price List'!I570</f>
        <v>68.256</v>
      </c>
      <c r="J154" s="290">
        <f>'Total Price List'!J570</f>
        <v>68.256</v>
      </c>
      <c r="K154" s="46"/>
    </row>
    <row r="155" spans="1:11" ht="12" customHeight="1" x14ac:dyDescent="0.25">
      <c r="A155" s="93" t="str">
        <f>'Total Price List'!A571</f>
        <v>G Data</v>
      </c>
      <c r="B155" s="48">
        <f>'Total Price List'!B571</f>
        <v>22022</v>
      </c>
      <c r="C155" s="49"/>
      <c r="D155" s="49" t="str">
        <f>'Total Price List'!D571</f>
        <v>Crossgrade 2Y GD EP ENT 10+</v>
      </c>
      <c r="E155" s="49" t="str">
        <f>'Total Price List'!E571</f>
        <v>License 9 &lt; x &lt; 25</v>
      </c>
      <c r="F155" s="48" t="str">
        <f>'Total Price List'!F571</f>
        <v>License</v>
      </c>
      <c r="G155" s="49" t="str">
        <f>'Total Price List'!G571</f>
        <v>G Data EndpointProtection + MailSecurity + Backup</v>
      </c>
      <c r="H155" s="49" t="str">
        <f>'Total Price List'!H571</f>
        <v>Crossgrade network license 2 years</v>
      </c>
      <c r="I155" s="289">
        <f>'Total Price List'!I571</f>
        <v>52.790400000000005</v>
      </c>
      <c r="J155" s="290">
        <f>'Total Price List'!J571</f>
        <v>52.790400000000005</v>
      </c>
      <c r="K155" s="46"/>
    </row>
    <row r="156" spans="1:11" ht="12" customHeight="1" x14ac:dyDescent="0.25">
      <c r="A156" s="93" t="str">
        <f>'Total Price List'!A572</f>
        <v>G Data</v>
      </c>
      <c r="B156" s="48">
        <f>'Total Price List'!B572</f>
        <v>22023</v>
      </c>
      <c r="C156" s="49"/>
      <c r="D156" s="49" t="str">
        <f>'Total Price List'!D572</f>
        <v>Crossgrade 2Y GD EP ENT 25+</v>
      </c>
      <c r="E156" s="49" t="str">
        <f>'Total Price List'!E572</f>
        <v>License 24 &lt; x &lt; 50</v>
      </c>
      <c r="F156" s="48" t="str">
        <f>'Total Price List'!F572</f>
        <v>License</v>
      </c>
      <c r="G156" s="49" t="str">
        <f>'Total Price List'!G572</f>
        <v>G Data EndpointProtection + MailSecurity + Backup</v>
      </c>
      <c r="H156" s="49" t="str">
        <f>'Total Price List'!H572</f>
        <v>Crossgrade network license 2 years</v>
      </c>
      <c r="I156" s="289">
        <f>'Total Price List'!I572</f>
        <v>42.059520000000006</v>
      </c>
      <c r="J156" s="290">
        <f>'Total Price List'!J572</f>
        <v>42.059520000000006</v>
      </c>
      <c r="K156" s="46"/>
    </row>
    <row r="157" spans="1:11" ht="12" customHeight="1" x14ac:dyDescent="0.25">
      <c r="A157" s="93" t="str">
        <f>'Total Price List'!A573</f>
        <v>G Data</v>
      </c>
      <c r="B157" s="48">
        <f>'Total Price List'!B573</f>
        <v>22024</v>
      </c>
      <c r="C157" s="49"/>
      <c r="D157" s="49" t="str">
        <f>'Total Price List'!D573</f>
        <v>Crossgrade 2Y GD EP ENT 50+</v>
      </c>
      <c r="E157" s="49" t="str">
        <f>'Total Price List'!E573</f>
        <v>License 49 &lt; x &lt; 100</v>
      </c>
      <c r="F157" s="48" t="str">
        <f>'Total Price List'!F573</f>
        <v>License</v>
      </c>
      <c r="G157" s="49" t="str">
        <f>'Total Price List'!G573</f>
        <v>G Data EndpointProtection + MailSecurity + Backup</v>
      </c>
      <c r="H157" s="49" t="str">
        <f>'Total Price List'!H573</f>
        <v>Crossgrade network license 2 years</v>
      </c>
      <c r="I157" s="289">
        <f>'Total Price List'!I573</f>
        <v>38.482559999999999</v>
      </c>
      <c r="J157" s="290">
        <f>'Total Price List'!J573</f>
        <v>38.482559999999999</v>
      </c>
      <c r="K157" s="46"/>
    </row>
    <row r="158" spans="1:11" ht="12" customHeight="1" x14ac:dyDescent="0.25">
      <c r="A158" s="93" t="str">
        <f>'Total Price List'!A574</f>
        <v>G Data</v>
      </c>
      <c r="B158" s="48">
        <f>'Total Price List'!B574</f>
        <v>22025</v>
      </c>
      <c r="C158" s="49"/>
      <c r="D158" s="49" t="str">
        <f>'Total Price List'!D574</f>
        <v>Crossgrade 2Y GD EP ENT 100+</v>
      </c>
      <c r="E158" s="49" t="str">
        <f>'Total Price List'!E574</f>
        <v>License 99 &lt; x &lt; 250</v>
      </c>
      <c r="F158" s="48" t="str">
        <f>'Total Price List'!F574</f>
        <v>License</v>
      </c>
      <c r="G158" s="49" t="str">
        <f>'Total Price List'!G574</f>
        <v>G Data EndpointProtection + MailSecurity + Backup</v>
      </c>
      <c r="H158" s="49" t="str">
        <f>'Total Price List'!H574</f>
        <v>Crossgrade network license 2 years</v>
      </c>
      <c r="I158" s="289">
        <f>'Total Price List'!I574</f>
        <v>31.452479999999998</v>
      </c>
      <c r="J158" s="290">
        <f>'Total Price List'!J574</f>
        <v>31.452479999999998</v>
      </c>
    </row>
    <row r="159" spans="1:11" ht="12" customHeight="1" x14ac:dyDescent="0.25">
      <c r="A159" s="93" t="str">
        <f>'Total Price List'!A575</f>
        <v>G Data</v>
      </c>
      <c r="B159" s="48">
        <f>'Total Price List'!B575</f>
        <v>22026</v>
      </c>
      <c r="C159" s="49"/>
      <c r="D159" s="49" t="str">
        <f>'Total Price List'!D575</f>
        <v>Crossgrade 2Y GD EP ENT 250+</v>
      </c>
      <c r="E159" s="49" t="str">
        <f>'Total Price List'!E575</f>
        <v>License 249 &lt; x &lt; 499</v>
      </c>
      <c r="F159" s="48" t="str">
        <f>'Total Price List'!F575</f>
        <v>License</v>
      </c>
      <c r="G159" s="49" t="str">
        <f>'Total Price List'!G575</f>
        <v>G Data EndpointProtection + MailSecurity + Backup</v>
      </c>
      <c r="H159" s="49" t="str">
        <f>'Total Price List'!H575</f>
        <v>Crossgrade network license 2 years</v>
      </c>
      <c r="I159" s="289">
        <f>'Total Price List'!I575</f>
        <v>25.828991999999996</v>
      </c>
      <c r="J159" s="290">
        <f>'Total Price List'!J575</f>
        <v>25.828991999999996</v>
      </c>
    </row>
    <row r="160" spans="1:11" ht="12" customHeight="1" x14ac:dyDescent="0.25">
      <c r="A160" s="93" t="str">
        <f>'Total Price List'!A576</f>
        <v>G Data</v>
      </c>
      <c r="B160" s="48">
        <f>'Total Price List'!B576</f>
        <v>22027</v>
      </c>
      <c r="C160" s="49"/>
      <c r="D160" s="49" t="str">
        <f>'Total Price List'!D576</f>
        <v>Crossgrade 2Y GD EP ENT 500+</v>
      </c>
      <c r="E160" s="49" t="str">
        <f>'Total Price List'!E576</f>
        <v>License 499 &lt; x &lt; 1000</v>
      </c>
      <c r="F160" s="48" t="str">
        <f>'Total Price List'!F576</f>
        <v>License</v>
      </c>
      <c r="G160" s="49" t="str">
        <f>'Total Price List'!G576</f>
        <v>G Data EndpointProtection + MailSecurity + Backup</v>
      </c>
      <c r="H160" s="49" t="str">
        <f>'Total Price List'!H576</f>
        <v>Crossgrade network license 2 years</v>
      </c>
      <c r="I160" s="289">
        <f>'Total Price List'!I576</f>
        <v>21.928895999999998</v>
      </c>
      <c r="J160" s="290">
        <f>'Total Price List'!J576</f>
        <v>21.928895999999998</v>
      </c>
    </row>
    <row r="161" spans="1:11" ht="12" customHeight="1" x14ac:dyDescent="0.25">
      <c r="A161" s="93" t="str">
        <f>'Total Price List'!A577</f>
        <v>G Data</v>
      </c>
      <c r="B161" s="48">
        <f>'Total Price List'!B577</f>
        <v>22028</v>
      </c>
      <c r="C161" s="49"/>
      <c r="D161" s="49" t="str">
        <f>'Total Price List'!D577</f>
        <v>Crossgrade 2Y GD EP ENT 1000+</v>
      </c>
      <c r="E161" s="49" t="str">
        <f>'Total Price List'!E577</f>
        <v>License 999 &lt; x &lt; 2500</v>
      </c>
      <c r="F161" s="48" t="str">
        <f>'Total Price List'!F577</f>
        <v>License</v>
      </c>
      <c r="G161" s="49" t="str">
        <f>'Total Price List'!G577</f>
        <v>G Data EndpointProtection + MailSecurity + Backup</v>
      </c>
      <c r="H161" s="49" t="str">
        <f>'Total Price List'!H577</f>
        <v>Crossgrade network license 2 years</v>
      </c>
      <c r="I161" s="289">
        <f>'Total Price List'!I577</f>
        <v>19.278719999999996</v>
      </c>
      <c r="J161" s="290">
        <f>'Total Price List'!J577</f>
        <v>19.278719999999996</v>
      </c>
    </row>
    <row r="162" spans="1:11" ht="12" customHeight="1" x14ac:dyDescent="0.25">
      <c r="A162" s="93" t="str">
        <f>'Total Price List'!A578</f>
        <v>G Data</v>
      </c>
      <c r="B162" s="48">
        <f>'Total Price List'!B578</f>
        <v>22031</v>
      </c>
      <c r="C162" s="49"/>
      <c r="D162" s="49" t="str">
        <f>'Total Price List'!D578</f>
        <v>Crossgrade 3Y GD EP ENT -9</v>
      </c>
      <c r="E162" s="49" t="str">
        <f>'Total Price List'!E578</f>
        <v>License 4 &lt; x &lt; 10</v>
      </c>
      <c r="F162" s="48" t="str">
        <f>'Total Price List'!F578</f>
        <v>License</v>
      </c>
      <c r="G162" s="49" t="str">
        <f>'Total Price List'!G578</f>
        <v>G Data EndpointProtection + MailSecurity + Backup</v>
      </c>
      <c r="H162" s="49" t="str">
        <f>'Total Price List'!H578</f>
        <v>Crossgrade network license 3 years</v>
      </c>
      <c r="I162" s="289">
        <f>'Total Price List'!I578</f>
        <v>86.616</v>
      </c>
      <c r="J162" s="290">
        <f>'Total Price List'!J578</f>
        <v>86.616</v>
      </c>
      <c r="K162" s="46"/>
    </row>
    <row r="163" spans="1:11" ht="12" customHeight="1" x14ac:dyDescent="0.25">
      <c r="A163" s="93" t="str">
        <f>'Total Price List'!A579</f>
        <v>G Data</v>
      </c>
      <c r="B163" s="48">
        <f>'Total Price List'!B579</f>
        <v>22032</v>
      </c>
      <c r="C163" s="49"/>
      <c r="D163" s="49" t="str">
        <f>'Total Price List'!D579</f>
        <v>Crossgrade 3Y GD EP ENT 10+</v>
      </c>
      <c r="E163" s="49" t="str">
        <f>'Total Price List'!E579</f>
        <v>License 9 &lt; x &lt; 25</v>
      </c>
      <c r="F163" s="48" t="str">
        <f>'Total Price List'!F579</f>
        <v>License</v>
      </c>
      <c r="G163" s="49" t="str">
        <f>'Total Price List'!G579</f>
        <v>G Data EndpointProtection + MailSecurity + Backup</v>
      </c>
      <c r="H163" s="49" t="str">
        <f>'Total Price List'!H579</f>
        <v>Crossgrade network license 3 years</v>
      </c>
      <c r="I163" s="289">
        <f>'Total Price List'!I579</f>
        <v>70.783200000000008</v>
      </c>
      <c r="J163" s="290">
        <f>'Total Price List'!J579</f>
        <v>70.783200000000008</v>
      </c>
      <c r="K163" s="46"/>
    </row>
    <row r="164" spans="1:11" ht="12" customHeight="1" x14ac:dyDescent="0.25">
      <c r="A164" s="93" t="str">
        <f>'Total Price List'!A580</f>
        <v>G Data</v>
      </c>
      <c r="B164" s="48">
        <f>'Total Price List'!B580</f>
        <v>22033</v>
      </c>
      <c r="C164" s="49"/>
      <c r="D164" s="49" t="str">
        <f>'Total Price List'!D580</f>
        <v>Crossgrade 3Y GD EP ENT 25+</v>
      </c>
      <c r="E164" s="49" t="str">
        <f>'Total Price List'!E580</f>
        <v>License 24 &lt; x &lt; 50</v>
      </c>
      <c r="F164" s="48" t="str">
        <f>'Total Price List'!F580</f>
        <v>License</v>
      </c>
      <c r="G164" s="49" t="str">
        <f>'Total Price List'!G580</f>
        <v>G Data EndpointProtection + MailSecurity + Backup</v>
      </c>
      <c r="H164" s="49" t="str">
        <f>'Total Price List'!H580</f>
        <v>Crossgrade network license 3 years</v>
      </c>
      <c r="I164" s="289">
        <f>'Total Price List'!I580</f>
        <v>57.188159999999996</v>
      </c>
      <c r="J164" s="290">
        <f>'Total Price List'!J580</f>
        <v>57.188159999999996</v>
      </c>
      <c r="K164" s="46"/>
    </row>
    <row r="165" spans="1:11" ht="12" customHeight="1" x14ac:dyDescent="0.25">
      <c r="A165" s="93" t="str">
        <f>'Total Price List'!A581</f>
        <v>G Data</v>
      </c>
      <c r="B165" s="48">
        <f>'Total Price List'!B581</f>
        <v>22034</v>
      </c>
      <c r="C165" s="49"/>
      <c r="D165" s="49" t="str">
        <f>'Total Price List'!D581</f>
        <v>Crossgrade 3Y GD EP ENT 50+</v>
      </c>
      <c r="E165" s="49" t="str">
        <f>'Total Price List'!E581</f>
        <v>License 49 &lt; x &lt; 100</v>
      </c>
      <c r="F165" s="48" t="str">
        <f>'Total Price List'!F581</f>
        <v>License</v>
      </c>
      <c r="G165" s="49" t="str">
        <f>'Total Price List'!G581</f>
        <v>G Data EndpointProtection + MailSecurity + Backup</v>
      </c>
      <c r="H165" s="49" t="str">
        <f>'Total Price List'!H581</f>
        <v>Crossgrade network license 3 years</v>
      </c>
      <c r="I165" s="289">
        <f>'Total Price List'!I581</f>
        <v>52.656479999999988</v>
      </c>
      <c r="J165" s="290">
        <f>'Total Price List'!J581</f>
        <v>52.656479999999988</v>
      </c>
      <c r="K165" s="46"/>
    </row>
    <row r="166" spans="1:11" ht="12" customHeight="1" x14ac:dyDescent="0.25">
      <c r="A166" s="93" t="str">
        <f>'Total Price List'!A582</f>
        <v>G Data</v>
      </c>
      <c r="B166" s="48">
        <f>'Total Price List'!B582</f>
        <v>22035</v>
      </c>
      <c r="C166" s="49"/>
      <c r="D166" s="49" t="str">
        <f>'Total Price List'!D582</f>
        <v>Crossgrade 3Y GD EP ENT 100+</v>
      </c>
      <c r="E166" s="49" t="str">
        <f>'Total Price List'!E582</f>
        <v>License 99 &lt; x &lt; 250</v>
      </c>
      <c r="F166" s="48" t="str">
        <f>'Total Price List'!F582</f>
        <v>License</v>
      </c>
      <c r="G166" s="49" t="str">
        <f>'Total Price List'!G582</f>
        <v>G Data EndpointProtection + MailSecurity + Backup</v>
      </c>
      <c r="H166" s="49" t="str">
        <f>'Total Price List'!H582</f>
        <v>Crossgrade network license 3 years</v>
      </c>
      <c r="I166" s="289">
        <f>'Total Price List'!I582</f>
        <v>42.945840000000004</v>
      </c>
      <c r="J166" s="290">
        <f>'Total Price List'!J582</f>
        <v>42.945840000000004</v>
      </c>
    </row>
    <row r="167" spans="1:11" ht="12" customHeight="1" x14ac:dyDescent="0.25">
      <c r="A167" s="93" t="str">
        <f>'Total Price List'!A583</f>
        <v>G Data</v>
      </c>
      <c r="B167" s="48">
        <f>'Total Price List'!B583</f>
        <v>22036</v>
      </c>
      <c r="C167" s="49"/>
      <c r="D167" s="49" t="str">
        <f>'Total Price List'!D583</f>
        <v>Crossgrade 3Y GD EP ENT 250+</v>
      </c>
      <c r="E167" s="49" t="str">
        <f>'Total Price List'!E583</f>
        <v>License 249 &lt; x &lt; 499</v>
      </c>
      <c r="F167" s="48" t="str">
        <f>'Total Price List'!F583</f>
        <v>License</v>
      </c>
      <c r="G167" s="49" t="str">
        <f>'Total Price List'!G583</f>
        <v>G Data EndpointProtection + MailSecurity + Backup</v>
      </c>
      <c r="H167" s="49" t="str">
        <f>'Total Price List'!H583</f>
        <v>Crossgrade network license 3 years</v>
      </c>
      <c r="I167" s="289">
        <f>'Total Price List'!I583</f>
        <v>34.832735999999997</v>
      </c>
      <c r="J167" s="290">
        <f>'Total Price List'!J583</f>
        <v>34.832735999999997</v>
      </c>
    </row>
    <row r="168" spans="1:11" ht="12" customHeight="1" x14ac:dyDescent="0.25">
      <c r="A168" s="93" t="str">
        <f>'Total Price List'!A584</f>
        <v>G Data</v>
      </c>
      <c r="B168" s="48">
        <f>'Total Price List'!B584</f>
        <v>22037</v>
      </c>
      <c r="C168" s="49"/>
      <c r="D168" s="49" t="str">
        <f>'Total Price List'!D584</f>
        <v>Crossgrade 3Y GD EP ENT 500+</v>
      </c>
      <c r="E168" s="49" t="str">
        <f>'Total Price List'!E584</f>
        <v>License 499 &lt; x &lt; 1000</v>
      </c>
      <c r="F168" s="48" t="str">
        <f>'Total Price List'!F584</f>
        <v>License</v>
      </c>
      <c r="G168" s="49" t="str">
        <f>'Total Price List'!G584</f>
        <v>G Data EndpointProtection + MailSecurity + Backup</v>
      </c>
      <c r="H168" s="49" t="str">
        <f>'Total Price List'!H584</f>
        <v>Crossgrade network license 3 years</v>
      </c>
      <c r="I168" s="289">
        <f>'Total Price List'!I584</f>
        <v>29.735568000000001</v>
      </c>
      <c r="J168" s="290">
        <f>'Total Price List'!J584</f>
        <v>29.735568000000001</v>
      </c>
    </row>
    <row r="169" spans="1:11" ht="12" customHeight="1" thickBot="1" x14ac:dyDescent="0.3">
      <c r="A169" s="121" t="str">
        <f>'Total Price List'!A585</f>
        <v>G Data</v>
      </c>
      <c r="B169" s="122">
        <f>'Total Price List'!B585</f>
        <v>22038</v>
      </c>
      <c r="C169" s="124"/>
      <c r="D169" s="124" t="str">
        <f>'Total Price List'!D585</f>
        <v>Crossgrade 3Y GD EP ENT 1000+</v>
      </c>
      <c r="E169" s="124" t="str">
        <f>'Total Price List'!E585</f>
        <v>License 999 &lt; x &lt; 2500</v>
      </c>
      <c r="F169" s="122" t="str">
        <f>'Total Price List'!F585</f>
        <v>License</v>
      </c>
      <c r="G169" s="124" t="str">
        <f>'Total Price List'!G585</f>
        <v>G Data EndpointProtection + MailSecurity + Backup</v>
      </c>
      <c r="H169" s="124" t="str">
        <f>'Total Price List'!H585</f>
        <v>Crossgrade network license 3 years</v>
      </c>
      <c r="I169" s="291">
        <f>'Total Price List'!I585</f>
        <v>26.916479999999996</v>
      </c>
      <c r="J169" s="292">
        <f>'Total Price List'!J585</f>
        <v>26.916479999999996</v>
      </c>
    </row>
    <row r="170" spans="1:11" ht="12" customHeight="1" thickBot="1" x14ac:dyDescent="0.3"/>
    <row r="171" spans="1:11" s="854" customFormat="1" ht="12" customHeight="1" x14ac:dyDescent="0.2">
      <c r="A171" s="632" t="s">
        <v>934</v>
      </c>
      <c r="B171" s="633"/>
      <c r="C171" s="633"/>
      <c r="D171" s="633"/>
      <c r="E171" s="633"/>
      <c r="F171" s="634"/>
      <c r="G171" s="633"/>
      <c r="H171" s="633"/>
      <c r="I171" s="633"/>
      <c r="J171" s="635"/>
    </row>
    <row r="172" spans="1:11" s="854" customFormat="1" ht="12" customHeight="1" x14ac:dyDescent="0.2">
      <c r="A172" s="636" t="s">
        <v>941</v>
      </c>
      <c r="B172" s="637"/>
      <c r="C172" s="637"/>
      <c r="D172" s="637"/>
      <c r="E172" s="637"/>
      <c r="F172" s="638"/>
      <c r="G172" s="637"/>
      <c r="H172" s="637"/>
      <c r="I172" s="637"/>
      <c r="J172" s="639"/>
    </row>
    <row r="173" spans="1:11" s="854" customFormat="1" ht="12" customHeight="1" x14ac:dyDescent="0.2">
      <c r="A173" s="636" t="s">
        <v>943</v>
      </c>
      <c r="B173" s="640"/>
      <c r="C173" s="640"/>
      <c r="D173" s="640"/>
      <c r="E173" s="640"/>
      <c r="F173" s="640"/>
      <c r="G173" s="640"/>
      <c r="H173" s="640"/>
      <c r="I173" s="640"/>
      <c r="J173" s="641"/>
    </row>
    <row r="174" spans="1:11" s="854" customFormat="1" ht="12" customHeight="1" x14ac:dyDescent="0.2">
      <c r="A174" s="636" t="s">
        <v>944</v>
      </c>
      <c r="B174" s="640"/>
      <c r="C174" s="640"/>
      <c r="D174" s="640"/>
      <c r="E174" s="640"/>
      <c r="F174" s="640"/>
      <c r="G174" s="640"/>
      <c r="H174" s="640"/>
      <c r="I174" s="640"/>
      <c r="J174" s="641"/>
    </row>
    <row r="175" spans="1:11" s="854" customFormat="1" ht="12" customHeight="1" thickBot="1" x14ac:dyDescent="0.25">
      <c r="A175" s="642" t="s">
        <v>945</v>
      </c>
      <c r="B175" s="643"/>
      <c r="C175" s="643"/>
      <c r="D175" s="643"/>
      <c r="E175" s="643"/>
      <c r="F175" s="643"/>
      <c r="G175" s="643"/>
      <c r="H175" s="643"/>
      <c r="I175" s="643"/>
      <c r="J175" s="644"/>
    </row>
    <row r="176" spans="1:11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</sheetData>
  <sheetProtection algorithmName="SHA-512" hashValue="BIjNOinu1D2TaLUSs3tS6Bih1+o9dtq/EVwT6b3G1SyAHgd9BlA9SJQaI7PV5a0eutS/pOcLdafWA5FBRZU38A==" saltValue="j0iNRYxK2h8AYqIbxT6ITA==" spinCount="100000" sheet="1" objects="1" scenarios="1" formatColumns="0" sort="0" autoFilter="0"/>
  <autoFilter ref="A3:I205"/>
  <mergeCells count="2">
    <mergeCell ref="A1:E1"/>
    <mergeCell ref="F1:G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theme="4" tint="0.39997558519241921"/>
  </sheetPr>
  <dimension ref="A1:K206"/>
  <sheetViews>
    <sheetView showGridLines="0" workbookViewId="0">
      <pane ySplit="3" topLeftCell="A133" activePane="bottomLeft" state="frozenSplit"/>
      <selection pane="bottomLeft" activeCell="L128" sqref="L128"/>
    </sheetView>
  </sheetViews>
  <sheetFormatPr baseColWidth="10" defaultRowHeight="15" x14ac:dyDescent="0.25"/>
  <cols>
    <col min="1" max="1" width="9.85546875" style="69" bestFit="1" customWidth="1"/>
    <col min="2" max="2" width="13.5703125" style="69" bestFit="1" customWidth="1"/>
    <col min="3" max="3" width="5.85546875" bestFit="1" customWidth="1"/>
    <col min="4" max="4" width="21.85546875" bestFit="1" customWidth="1"/>
    <col min="5" max="5" width="20.42578125" bestFit="1" customWidth="1"/>
    <col min="6" max="6" width="6.7109375" style="69" bestFit="1" customWidth="1"/>
    <col min="7" max="7" width="26.7109375" bestFit="1" customWidth="1"/>
    <col min="8" max="8" width="41.85546875" bestFit="1" customWidth="1"/>
    <col min="9" max="9" width="12.42578125" style="63" bestFit="1" customWidth="1"/>
    <col min="10" max="10" width="10.7109375" style="63" bestFit="1" customWidth="1"/>
  </cols>
  <sheetData>
    <row r="1" spans="1:10" ht="18.75" x14ac:dyDescent="0.3">
      <c r="A1" s="878" t="s">
        <v>441</v>
      </c>
      <c r="B1" s="878"/>
      <c r="C1" s="878"/>
      <c r="D1" s="878"/>
      <c r="E1" s="878"/>
      <c r="F1" s="880"/>
      <c r="G1" s="880"/>
      <c r="J1" s="62"/>
    </row>
    <row r="2" spans="1:10" ht="15.75" thickBot="1" x14ac:dyDescent="0.3"/>
    <row r="3" spans="1:10" ht="36.75" thickBot="1" x14ac:dyDescent="0.3">
      <c r="A3" s="587" t="s">
        <v>743</v>
      </c>
      <c r="B3" s="588" t="s">
        <v>744</v>
      </c>
      <c r="C3" s="588" t="s">
        <v>449</v>
      </c>
      <c r="D3" s="588" t="s">
        <v>745</v>
      </c>
      <c r="E3" s="588" t="s">
        <v>938</v>
      </c>
      <c r="F3" s="588" t="s">
        <v>939</v>
      </c>
      <c r="G3" s="588" t="s">
        <v>748</v>
      </c>
      <c r="H3" s="588" t="s">
        <v>749</v>
      </c>
      <c r="I3" s="589" t="s">
        <v>750</v>
      </c>
      <c r="J3" s="590" t="s">
        <v>751</v>
      </c>
    </row>
    <row r="4" spans="1:10" ht="12" customHeight="1" x14ac:dyDescent="0.25">
      <c r="A4" s="108" t="str">
        <f>'Total Price List'!A639</f>
        <v>G Data UNI network license</v>
      </c>
      <c r="B4" s="608"/>
      <c r="C4" s="608"/>
      <c r="D4" s="608"/>
      <c r="E4" s="608"/>
      <c r="F4" s="608"/>
      <c r="G4" s="608"/>
      <c r="H4" s="608"/>
      <c r="I4" s="608"/>
      <c r="J4" s="608"/>
    </row>
    <row r="5" spans="1:10" ht="12" customHeight="1" x14ac:dyDescent="0.25">
      <c r="A5" s="606" t="str">
        <f>'Total Price List'!A640</f>
        <v>G Data</v>
      </c>
      <c r="B5" s="593">
        <f>'Total Price List'!B640</f>
        <v>29110</v>
      </c>
      <c r="C5" s="592"/>
      <c r="D5" s="592" t="str">
        <f>'Total Price List'!D640</f>
        <v>License UNI 1Y GD EP ENT S</v>
      </c>
      <c r="E5" s="592" t="str">
        <f>'Total Price List'!E640</f>
        <v>License UNI &lt; 2.500</v>
      </c>
      <c r="F5" s="593" t="str">
        <f>'Total Price List'!F640</f>
        <v>License</v>
      </c>
      <c r="G5" s="592" t="str">
        <f>'Total Price List'!G640</f>
        <v>G Data EndpointProtection + MailSecurity + Backup</v>
      </c>
      <c r="H5" s="592" t="str">
        <f>'Total Price List'!H640</f>
        <v>network license 1 year</v>
      </c>
      <c r="I5" s="598">
        <f>'Total Price List'!I640</f>
        <v>2950</v>
      </c>
      <c r="J5" s="599">
        <f>'Total Price List'!J640</f>
        <v>2950</v>
      </c>
    </row>
    <row r="6" spans="1:10" ht="12" customHeight="1" x14ac:dyDescent="0.25">
      <c r="A6" s="606" t="str">
        <f>'Total Price List'!A641</f>
        <v>G Data</v>
      </c>
      <c r="B6" s="593">
        <f>'Total Price List'!B641</f>
        <v>29210</v>
      </c>
      <c r="C6" s="592"/>
      <c r="D6" s="592" t="str">
        <f>'Total Price List'!D641</f>
        <v>License UNI 1Y GD EP ENT M</v>
      </c>
      <c r="E6" s="592" t="str">
        <f>'Total Price List'!E641</f>
        <v>License UNI 2500&lt; x &lt; 10000</v>
      </c>
      <c r="F6" s="593" t="str">
        <f>'Total Price List'!F641</f>
        <v>License</v>
      </c>
      <c r="G6" s="592" t="str">
        <f>'Total Price List'!G641</f>
        <v>G Data EndpointProtection + MailSecurity + Backup</v>
      </c>
      <c r="H6" s="592" t="str">
        <f>'Total Price List'!H641</f>
        <v>network license 1 year</v>
      </c>
      <c r="I6" s="598">
        <f>'Total Price List'!I641</f>
        <v>4950</v>
      </c>
      <c r="J6" s="599">
        <f>'Total Price List'!J641</f>
        <v>4950</v>
      </c>
    </row>
    <row r="7" spans="1:10" ht="12" customHeight="1" x14ac:dyDescent="0.25">
      <c r="A7" s="606" t="str">
        <f>'Total Price List'!A642</f>
        <v>G Data</v>
      </c>
      <c r="B7" s="593">
        <f>'Total Price List'!B642</f>
        <v>29310</v>
      </c>
      <c r="C7" s="592"/>
      <c r="D7" s="592" t="str">
        <f>'Total Price List'!D642</f>
        <v>License UNI 1Y GD EP ENT L</v>
      </c>
      <c r="E7" s="592" t="str">
        <f>'Total Price List'!E642</f>
        <v>License UNI &gt; 10.000</v>
      </c>
      <c r="F7" s="593" t="str">
        <f>'Total Price List'!F642</f>
        <v>License</v>
      </c>
      <c r="G7" s="592" t="str">
        <f>'Total Price List'!G642</f>
        <v>G Data EndpointProtection + MailSecurity + Backup</v>
      </c>
      <c r="H7" s="592" t="str">
        <f>'Total Price List'!H642</f>
        <v>network license 1 year</v>
      </c>
      <c r="I7" s="598">
        <f>'Total Price List'!I642</f>
        <v>8950</v>
      </c>
      <c r="J7" s="599">
        <f>'Total Price List'!J642</f>
        <v>8950</v>
      </c>
    </row>
    <row r="8" spans="1:10" ht="12" customHeight="1" x14ac:dyDescent="0.25">
      <c r="A8" s="606" t="str">
        <f>'Total Price List'!A643</f>
        <v>G Data</v>
      </c>
      <c r="B8" s="593">
        <f>'Total Price List'!B643</f>
        <v>29120</v>
      </c>
      <c r="C8" s="592"/>
      <c r="D8" s="592" t="str">
        <f>'Total Price List'!D643</f>
        <v>License UNI 2Y GD EP ENT S</v>
      </c>
      <c r="E8" s="592" t="str">
        <f>'Total Price List'!E643</f>
        <v>License UNI &lt; 2.500</v>
      </c>
      <c r="F8" s="593" t="str">
        <f>'Total Price List'!F643</f>
        <v>License</v>
      </c>
      <c r="G8" s="592" t="str">
        <f>'Total Price List'!G643</f>
        <v>G Data EndpointProtection + MailSecurity + Backup</v>
      </c>
      <c r="H8" s="592" t="str">
        <f>'Total Price List'!H643</f>
        <v>network license 2 years</v>
      </c>
      <c r="I8" s="598">
        <f>'Total Price List'!I643</f>
        <v>4412.5</v>
      </c>
      <c r="J8" s="599">
        <f>'Total Price List'!J643</f>
        <v>4412.5</v>
      </c>
    </row>
    <row r="9" spans="1:10" ht="12" customHeight="1" x14ac:dyDescent="0.25">
      <c r="A9" s="606" t="str">
        <f>'Total Price List'!A644</f>
        <v>G Data</v>
      </c>
      <c r="B9" s="593">
        <f>'Total Price List'!B644</f>
        <v>29220</v>
      </c>
      <c r="C9" s="592"/>
      <c r="D9" s="592" t="str">
        <f>'Total Price List'!D644</f>
        <v>License UNI 2Y GD EP ENT M</v>
      </c>
      <c r="E9" s="592" t="str">
        <f>'Total Price List'!E644</f>
        <v>License UNI 2500&lt; x &lt; 10000</v>
      </c>
      <c r="F9" s="593" t="str">
        <f>'Total Price List'!F644</f>
        <v>License</v>
      </c>
      <c r="G9" s="592" t="str">
        <f>'Total Price List'!G644</f>
        <v>G Data EndpointProtection + MailSecurity + Backup</v>
      </c>
      <c r="H9" s="592" t="str">
        <f>'Total Price List'!H644</f>
        <v>network license 2 years</v>
      </c>
      <c r="I9" s="598">
        <f>'Total Price List'!I644</f>
        <v>7162.5</v>
      </c>
      <c r="J9" s="599">
        <f>'Total Price List'!J644</f>
        <v>7162.5</v>
      </c>
    </row>
    <row r="10" spans="1:10" ht="12" customHeight="1" x14ac:dyDescent="0.25">
      <c r="A10" s="606" t="str">
        <f>'Total Price List'!A645</f>
        <v>G Data</v>
      </c>
      <c r="B10" s="593">
        <f>'Total Price List'!B645</f>
        <v>29320</v>
      </c>
      <c r="C10" s="592"/>
      <c r="D10" s="592" t="str">
        <f>'Total Price List'!D645</f>
        <v>License UNI 2Y GD EP ENT L</v>
      </c>
      <c r="E10" s="592" t="str">
        <f>'Total Price List'!E645</f>
        <v>License UNI &gt; 10.000</v>
      </c>
      <c r="F10" s="593" t="str">
        <f>'Total Price List'!F645</f>
        <v>License</v>
      </c>
      <c r="G10" s="592" t="str">
        <f>'Total Price List'!G645</f>
        <v>G Data EndpointProtection + MailSecurity + Backup</v>
      </c>
      <c r="H10" s="592" t="str">
        <f>'Total Price List'!H645</f>
        <v>network license 2 years</v>
      </c>
      <c r="I10" s="598">
        <f>'Total Price List'!I645</f>
        <v>12662.5</v>
      </c>
      <c r="J10" s="599">
        <f>'Total Price List'!J645</f>
        <v>12662.5</v>
      </c>
    </row>
    <row r="11" spans="1:10" ht="12" customHeight="1" x14ac:dyDescent="0.25">
      <c r="A11" s="606" t="str">
        <f>'Total Price List'!A646</f>
        <v>G Data</v>
      </c>
      <c r="B11" s="593">
        <f>'Total Price List'!B646</f>
        <v>29130</v>
      </c>
      <c r="C11" s="592"/>
      <c r="D11" s="592" t="str">
        <f>'Total Price List'!D646</f>
        <v>License UNI 3Y GD EP ENT S</v>
      </c>
      <c r="E11" s="592" t="str">
        <f>'Total Price List'!E646</f>
        <v>License UNI &lt; 2.500</v>
      </c>
      <c r="F11" s="593" t="str">
        <f>'Total Price List'!F646</f>
        <v>License</v>
      </c>
      <c r="G11" s="592" t="str">
        <f>'Total Price List'!G646</f>
        <v>G Data EndpointProtection + MailSecurity + Backup</v>
      </c>
      <c r="H11" s="592" t="str">
        <f>'Total Price List'!H646</f>
        <v>network license 3 years</v>
      </c>
      <c r="I11" s="598">
        <f>'Total Price List'!I646</f>
        <v>5875</v>
      </c>
      <c r="J11" s="599">
        <f>'Total Price List'!J646</f>
        <v>5875</v>
      </c>
    </row>
    <row r="12" spans="1:10" ht="12" customHeight="1" x14ac:dyDescent="0.25">
      <c r="A12" s="606" t="str">
        <f>'Total Price List'!A647</f>
        <v>G Data</v>
      </c>
      <c r="B12" s="593">
        <f>'Total Price List'!B647</f>
        <v>29230</v>
      </c>
      <c r="C12" s="592"/>
      <c r="D12" s="592" t="str">
        <f>'Total Price List'!D647</f>
        <v>License UNI 3Y GD EP ENT M</v>
      </c>
      <c r="E12" s="592" t="str">
        <f>'Total Price List'!E647</f>
        <v>License UNI 2500&lt; x &lt; 10000</v>
      </c>
      <c r="F12" s="593" t="str">
        <f>'Total Price List'!F647</f>
        <v>License</v>
      </c>
      <c r="G12" s="592" t="str">
        <f>'Total Price List'!G647</f>
        <v>G Data EndpointProtection + MailSecurity + Backup</v>
      </c>
      <c r="H12" s="592" t="str">
        <f>'Total Price List'!H647</f>
        <v>network license 3 years</v>
      </c>
      <c r="I12" s="598">
        <f>'Total Price List'!I647</f>
        <v>9375</v>
      </c>
      <c r="J12" s="599">
        <f>'Total Price List'!J647</f>
        <v>9375</v>
      </c>
    </row>
    <row r="13" spans="1:10" ht="12" customHeight="1" x14ac:dyDescent="0.25">
      <c r="A13" s="606" t="str">
        <f>'Total Price List'!A648</f>
        <v>G Data</v>
      </c>
      <c r="B13" s="593">
        <f>'Total Price List'!B648</f>
        <v>29330</v>
      </c>
      <c r="C13" s="592"/>
      <c r="D13" s="592" t="str">
        <f>'Total Price List'!D648</f>
        <v>License UNI 3Y GD EP ENT L</v>
      </c>
      <c r="E13" s="592" t="str">
        <f>'Total Price List'!E648</f>
        <v>License UNI &gt; 10.000</v>
      </c>
      <c r="F13" s="593" t="str">
        <f>'Total Price List'!F648</f>
        <v>License</v>
      </c>
      <c r="G13" s="592" t="str">
        <f>'Total Price List'!G648</f>
        <v>G Data EndpointProtection + MailSecurity + Backup</v>
      </c>
      <c r="H13" s="592" t="str">
        <f>'Total Price List'!H648</f>
        <v>network license 3 years</v>
      </c>
      <c r="I13" s="598">
        <f>'Total Price List'!I648</f>
        <v>16375</v>
      </c>
      <c r="J13" s="599">
        <f>'Total Price List'!J648</f>
        <v>16375</v>
      </c>
    </row>
    <row r="14" spans="1:10" ht="12" customHeight="1" x14ac:dyDescent="0.25">
      <c r="A14" s="606" t="str">
        <f>'Total Price List'!A649</f>
        <v>G Data</v>
      </c>
      <c r="B14" s="593">
        <f>'Total Price List'!B649</f>
        <v>29410</v>
      </c>
      <c r="C14" s="592"/>
      <c r="D14" s="592" t="str">
        <f>'Total Price List'!D649</f>
        <v>License UNI 1Y GD PM S</v>
      </c>
      <c r="E14" s="592" t="str">
        <f>'Total Price List'!E649</f>
        <v>License UNI &lt; 2.500</v>
      </c>
      <c r="F14" s="593" t="str">
        <f>'Total Price List'!F649</f>
        <v>License</v>
      </c>
      <c r="G14" s="592" t="str">
        <f>'Total Price List'!G649</f>
        <v>G Data PatchMangement</v>
      </c>
      <c r="H14" s="592" t="str">
        <f>'Total Price List'!H649</f>
        <v>network license 1 year</v>
      </c>
      <c r="I14" s="598">
        <f>'Total Price List'!I649</f>
        <v>2050</v>
      </c>
      <c r="J14" s="599">
        <f>'Total Price List'!J649</f>
        <v>2050</v>
      </c>
    </row>
    <row r="15" spans="1:10" ht="12" customHeight="1" x14ac:dyDescent="0.25">
      <c r="A15" s="606" t="str">
        <f>'Total Price List'!A650</f>
        <v>G Data</v>
      </c>
      <c r="B15" s="593">
        <f>'Total Price List'!B650</f>
        <v>29510</v>
      </c>
      <c r="C15" s="592"/>
      <c r="D15" s="592" t="str">
        <f>'Total Price List'!D650</f>
        <v>License UNI 1Y GD PM M</v>
      </c>
      <c r="E15" s="592" t="str">
        <f>'Total Price List'!E650</f>
        <v>License UNI 2500&lt; x &lt; 10000</v>
      </c>
      <c r="F15" s="593" t="str">
        <f>'Total Price List'!F650</f>
        <v>License</v>
      </c>
      <c r="G15" s="592" t="str">
        <f>'Total Price List'!G650</f>
        <v>G Data PatchMangement</v>
      </c>
      <c r="H15" s="592" t="str">
        <f>'Total Price List'!H650</f>
        <v>network license 1 year</v>
      </c>
      <c r="I15" s="598">
        <f>'Total Price List'!I650</f>
        <v>3450</v>
      </c>
      <c r="J15" s="599">
        <f>'Total Price List'!J650</f>
        <v>3450</v>
      </c>
    </row>
    <row r="16" spans="1:10" ht="12" customHeight="1" x14ac:dyDescent="0.25">
      <c r="A16" s="606" t="str">
        <f>'Total Price List'!A651</f>
        <v>G Data</v>
      </c>
      <c r="B16" s="593">
        <f>'Total Price List'!B651</f>
        <v>29610</v>
      </c>
      <c r="C16" s="592"/>
      <c r="D16" s="592" t="str">
        <f>'Total Price List'!D651</f>
        <v>License UNI 1Y GD PM L</v>
      </c>
      <c r="E16" s="592" t="str">
        <f>'Total Price List'!E651</f>
        <v>License UNI &gt; 10.000</v>
      </c>
      <c r="F16" s="593" t="str">
        <f>'Total Price List'!F651</f>
        <v>License</v>
      </c>
      <c r="G16" s="592" t="str">
        <f>'Total Price List'!G651</f>
        <v>G Data PatchMangement</v>
      </c>
      <c r="H16" s="592" t="str">
        <f>'Total Price List'!H651</f>
        <v>network license 1 year</v>
      </c>
      <c r="I16" s="598">
        <f>'Total Price List'!I651</f>
        <v>6220</v>
      </c>
      <c r="J16" s="599">
        <f>'Total Price List'!J651</f>
        <v>6220</v>
      </c>
    </row>
    <row r="17" spans="1:10" ht="12" customHeight="1" x14ac:dyDescent="0.25">
      <c r="A17" s="606" t="str">
        <f>'Total Price List'!A652</f>
        <v>G Data</v>
      </c>
      <c r="B17" s="593">
        <f>'Total Price List'!B652</f>
        <v>29420</v>
      </c>
      <c r="C17" s="592"/>
      <c r="D17" s="592" t="str">
        <f>'Total Price List'!D652</f>
        <v>License UNI 2Y GD PM S</v>
      </c>
      <c r="E17" s="592" t="str">
        <f>'Total Price List'!E652</f>
        <v>License UNI &lt; 2.500</v>
      </c>
      <c r="F17" s="593" t="str">
        <f>'Total Price List'!F652</f>
        <v>License</v>
      </c>
      <c r="G17" s="592" t="str">
        <f>'Total Price List'!G652</f>
        <v>G Data PatchMangement</v>
      </c>
      <c r="H17" s="592" t="str">
        <f>'Total Price List'!H652</f>
        <v>network license 2 years</v>
      </c>
      <c r="I17" s="598">
        <f>'Total Price List'!I652</f>
        <v>4100</v>
      </c>
      <c r="J17" s="599">
        <f>'Total Price List'!J652</f>
        <v>4100</v>
      </c>
    </row>
    <row r="18" spans="1:10" ht="12" customHeight="1" x14ac:dyDescent="0.25">
      <c r="A18" s="606" t="str">
        <f>'Total Price List'!A653</f>
        <v>G Data</v>
      </c>
      <c r="B18" s="593">
        <f>'Total Price List'!B653</f>
        <v>29520</v>
      </c>
      <c r="C18" s="592"/>
      <c r="D18" s="592" t="str">
        <f>'Total Price List'!D653</f>
        <v>License UNI 2Y GD PM M</v>
      </c>
      <c r="E18" s="592" t="str">
        <f>'Total Price List'!E653</f>
        <v>License UNI 2500&lt; x &lt; 10000</v>
      </c>
      <c r="F18" s="593" t="str">
        <f>'Total Price List'!F653</f>
        <v>License</v>
      </c>
      <c r="G18" s="592" t="str">
        <f>'Total Price List'!G653</f>
        <v>G Data PatchMangement</v>
      </c>
      <c r="H18" s="592" t="str">
        <f>'Total Price List'!H653</f>
        <v>network license 2 years</v>
      </c>
      <c r="I18" s="598">
        <f>'Total Price List'!I653</f>
        <v>6900</v>
      </c>
      <c r="J18" s="599">
        <f>'Total Price List'!J653</f>
        <v>6900</v>
      </c>
    </row>
    <row r="19" spans="1:10" ht="12" customHeight="1" x14ac:dyDescent="0.25">
      <c r="A19" s="606" t="str">
        <f>'Total Price List'!A654</f>
        <v>G Data</v>
      </c>
      <c r="B19" s="593">
        <f>'Total Price List'!B654</f>
        <v>29620</v>
      </c>
      <c r="C19" s="592"/>
      <c r="D19" s="592" t="str">
        <f>'Total Price List'!D654</f>
        <v>License UNI 2Y GD PM L</v>
      </c>
      <c r="E19" s="592" t="str">
        <f>'Total Price List'!E654</f>
        <v>License UNI &gt; 10.000</v>
      </c>
      <c r="F19" s="593" t="str">
        <f>'Total Price List'!F654</f>
        <v>License</v>
      </c>
      <c r="G19" s="592" t="str">
        <f>'Total Price List'!G654</f>
        <v>G Data PatchMangement</v>
      </c>
      <c r="H19" s="592" t="str">
        <f>'Total Price List'!H654</f>
        <v>network license 2 years</v>
      </c>
      <c r="I19" s="598">
        <f>'Total Price List'!I654</f>
        <v>12440</v>
      </c>
      <c r="J19" s="599">
        <f>'Total Price List'!J654</f>
        <v>12440</v>
      </c>
    </row>
    <row r="20" spans="1:10" ht="12" customHeight="1" x14ac:dyDescent="0.25">
      <c r="A20" s="606" t="str">
        <f>'Total Price List'!A655</f>
        <v>G Data</v>
      </c>
      <c r="B20" s="593">
        <f>'Total Price List'!B655</f>
        <v>29430</v>
      </c>
      <c r="C20" s="592"/>
      <c r="D20" s="592" t="str">
        <f>'Total Price List'!D655</f>
        <v>License UNI 3Y GD PM S</v>
      </c>
      <c r="E20" s="592" t="str">
        <f>'Total Price List'!E655</f>
        <v>License UNI &lt; 2.500</v>
      </c>
      <c r="F20" s="593" t="str">
        <f>'Total Price List'!F655</f>
        <v>License</v>
      </c>
      <c r="G20" s="592" t="str">
        <f>'Total Price List'!G655</f>
        <v>G Data PatchMangement</v>
      </c>
      <c r="H20" s="592" t="str">
        <f>'Total Price List'!H655</f>
        <v>network license 3 years</v>
      </c>
      <c r="I20" s="598">
        <f>'Total Price List'!I655</f>
        <v>6150</v>
      </c>
      <c r="J20" s="599">
        <f>'Total Price List'!J655</f>
        <v>6150</v>
      </c>
    </row>
    <row r="21" spans="1:10" ht="12" customHeight="1" x14ac:dyDescent="0.25">
      <c r="A21" s="606" t="str">
        <f>'Total Price List'!A656</f>
        <v>G Data</v>
      </c>
      <c r="B21" s="593">
        <f>'Total Price List'!B656</f>
        <v>29530</v>
      </c>
      <c r="C21" s="592"/>
      <c r="D21" s="592" t="str">
        <f>'Total Price List'!D656</f>
        <v>License UNI 3Y GD PM M</v>
      </c>
      <c r="E21" s="592" t="str">
        <f>'Total Price List'!E656</f>
        <v>License UNI 2500&lt; x &lt; 10000</v>
      </c>
      <c r="F21" s="593" t="str">
        <f>'Total Price List'!F656</f>
        <v>License</v>
      </c>
      <c r="G21" s="592" t="str">
        <f>'Total Price List'!G656</f>
        <v>G Data PatchMangement</v>
      </c>
      <c r="H21" s="592" t="str">
        <f>'Total Price List'!H656</f>
        <v>network license 3 years</v>
      </c>
      <c r="I21" s="598">
        <f>'Total Price List'!I656</f>
        <v>10350</v>
      </c>
      <c r="J21" s="599">
        <f>'Total Price List'!J656</f>
        <v>10350</v>
      </c>
    </row>
    <row r="22" spans="1:10" ht="12" customHeight="1" thickBot="1" x14ac:dyDescent="0.3">
      <c r="A22" s="606" t="str">
        <f>'Total Price List'!A657</f>
        <v>G Data</v>
      </c>
      <c r="B22" s="593">
        <f>'Total Price List'!B657</f>
        <v>29630</v>
      </c>
      <c r="C22" s="592"/>
      <c r="D22" s="592" t="str">
        <f>'Total Price List'!D657</f>
        <v>License UNI 3Y GD PM L</v>
      </c>
      <c r="E22" s="592" t="str">
        <f>'Total Price List'!E657</f>
        <v>License UNI &gt; 10.000</v>
      </c>
      <c r="F22" s="593" t="str">
        <f>'Total Price List'!F657</f>
        <v>License</v>
      </c>
      <c r="G22" s="592" t="str">
        <f>'Total Price List'!G657</f>
        <v>G Data PatchMangement</v>
      </c>
      <c r="H22" s="592" t="str">
        <f>'Total Price List'!H657</f>
        <v>network license 3 years</v>
      </c>
      <c r="I22" s="598">
        <f>'Total Price List'!I657</f>
        <v>18660</v>
      </c>
      <c r="J22" s="599">
        <f>'Total Price List'!J657</f>
        <v>18660</v>
      </c>
    </row>
    <row r="23" spans="1:10" ht="12" customHeight="1" x14ac:dyDescent="0.25">
      <c r="A23" s="608" t="str">
        <f>'Total Price List'!A658</f>
        <v>G Data UNI network license renewal</v>
      </c>
      <c r="B23" s="608"/>
      <c r="C23" s="608"/>
      <c r="D23" s="608"/>
      <c r="E23" s="608"/>
      <c r="F23" s="608"/>
      <c r="G23" s="608"/>
      <c r="H23" s="608"/>
      <c r="I23" s="608"/>
      <c r="J23" s="608"/>
    </row>
    <row r="24" spans="1:10" ht="12" customHeight="1" x14ac:dyDescent="0.25">
      <c r="A24" s="607" t="str">
        <f>'Total Price List'!A659</f>
        <v>G Data</v>
      </c>
      <c r="B24" s="595">
        <f>'Total Price List'!B659</f>
        <v>29160</v>
      </c>
      <c r="C24" s="594"/>
      <c r="D24" s="594" t="str">
        <f>'Total Price List'!D659</f>
        <v>Renewal UNI 1Y GD EP ENT S</v>
      </c>
      <c r="E24" s="594" t="str">
        <f>'Total Price List'!E659</f>
        <v>Renewal UNI &lt; 2.500</v>
      </c>
      <c r="F24" s="595" t="str">
        <f>'Total Price List'!F659</f>
        <v>Renewal</v>
      </c>
      <c r="G24" s="594" t="str">
        <f>'Total Price List'!G659</f>
        <v>G Data EndpointProtection + MailSecurity + Backup</v>
      </c>
      <c r="H24" s="594" t="str">
        <f>'Total Price List'!H659</f>
        <v>network license renewal 1 year</v>
      </c>
      <c r="I24" s="601">
        <f>'Total Price List'!I659</f>
        <v>1950</v>
      </c>
      <c r="J24" s="600">
        <f>'Total Price List'!J659</f>
        <v>1950</v>
      </c>
    </row>
    <row r="25" spans="1:10" ht="12" customHeight="1" x14ac:dyDescent="0.25">
      <c r="A25" s="607" t="str">
        <f>'Total Price List'!A660</f>
        <v>G Data</v>
      </c>
      <c r="B25" s="595">
        <f>'Total Price List'!B660</f>
        <v>29260</v>
      </c>
      <c r="C25" s="594"/>
      <c r="D25" s="594" t="str">
        <f>'Total Price List'!D660</f>
        <v>Renewal UNI 1Y GD EP ENT M</v>
      </c>
      <c r="E25" s="594" t="str">
        <f>'Total Price List'!E660</f>
        <v>Renewal UNI 2500&lt; x &lt; 10000</v>
      </c>
      <c r="F25" s="595" t="str">
        <f>'Total Price List'!F660</f>
        <v>Renewal</v>
      </c>
      <c r="G25" s="594" t="str">
        <f>'Total Price List'!G660</f>
        <v>G Data EndpointProtection + MailSecurity + Backup</v>
      </c>
      <c r="H25" s="594" t="str">
        <f>'Total Price List'!H660</f>
        <v>network license renewal 1 year</v>
      </c>
      <c r="I25" s="601">
        <f>'Total Price List'!I660</f>
        <v>2950</v>
      </c>
      <c r="J25" s="600">
        <f>'Total Price List'!J660</f>
        <v>2950</v>
      </c>
    </row>
    <row r="26" spans="1:10" ht="12" customHeight="1" x14ac:dyDescent="0.25">
      <c r="A26" s="607" t="str">
        <f>'Total Price List'!A661</f>
        <v>G Data</v>
      </c>
      <c r="B26" s="595">
        <f>'Total Price List'!B661</f>
        <v>29360</v>
      </c>
      <c r="C26" s="594"/>
      <c r="D26" s="594" t="str">
        <f>'Total Price List'!D661</f>
        <v>Renewal UNI 1Y GD EP ENT L</v>
      </c>
      <c r="E26" s="594" t="str">
        <f>'Total Price List'!E661</f>
        <v>Renewal UNI &gt; 10.000</v>
      </c>
      <c r="F26" s="595" t="str">
        <f>'Total Price List'!F661</f>
        <v>Renewal</v>
      </c>
      <c r="G26" s="594" t="str">
        <f>'Total Price List'!G661</f>
        <v>G Data EndpointProtection + MailSecurity + Backup</v>
      </c>
      <c r="H26" s="594" t="str">
        <f>'Total Price List'!H661</f>
        <v>network license renewal 1 year</v>
      </c>
      <c r="I26" s="601">
        <f>'Total Price List'!I661</f>
        <v>4950</v>
      </c>
      <c r="J26" s="600">
        <f>'Total Price List'!J661</f>
        <v>4950</v>
      </c>
    </row>
    <row r="27" spans="1:10" ht="12" customHeight="1" x14ac:dyDescent="0.25">
      <c r="A27" s="607" t="str">
        <f>'Total Price List'!A662</f>
        <v>G Data</v>
      </c>
      <c r="B27" s="595">
        <f>'Total Price List'!B662</f>
        <v>29170</v>
      </c>
      <c r="C27" s="594"/>
      <c r="D27" s="594" t="str">
        <f>'Total Price List'!D662</f>
        <v>Renewal UNI 2Y GD EP ENT S</v>
      </c>
      <c r="E27" s="594" t="str">
        <f>'Total Price List'!E662</f>
        <v>Renewal UNI &lt; 2.500</v>
      </c>
      <c r="F27" s="595" t="str">
        <f>'Total Price List'!F662</f>
        <v>Renewal</v>
      </c>
      <c r="G27" s="594" t="str">
        <f>'Total Price List'!G662</f>
        <v>G Data EndpointProtection + MailSecurity + Backup</v>
      </c>
      <c r="H27" s="594" t="str">
        <f>'Total Price List'!H662</f>
        <v>network license renewal 2 years</v>
      </c>
      <c r="I27" s="601">
        <f>'Total Price List'!I662</f>
        <v>3412.5</v>
      </c>
      <c r="J27" s="600">
        <f>'Total Price List'!J662</f>
        <v>3412.5</v>
      </c>
    </row>
    <row r="28" spans="1:10" ht="12" customHeight="1" x14ac:dyDescent="0.25">
      <c r="A28" s="607" t="str">
        <f>'Total Price List'!A663</f>
        <v>G Data</v>
      </c>
      <c r="B28" s="595">
        <f>'Total Price List'!B663</f>
        <v>29270</v>
      </c>
      <c r="C28" s="594"/>
      <c r="D28" s="594" t="str">
        <f>'Total Price List'!D663</f>
        <v>Renewal UNI 2Y GD EP ENT M</v>
      </c>
      <c r="E28" s="594" t="str">
        <f>'Total Price List'!E663</f>
        <v>Renewal UNI 2500&lt; x &lt; 10000</v>
      </c>
      <c r="F28" s="595" t="str">
        <f>'Total Price List'!F663</f>
        <v>Renewal</v>
      </c>
      <c r="G28" s="594" t="str">
        <f>'Total Price List'!G663</f>
        <v>G Data EndpointProtection + MailSecurity + Backup</v>
      </c>
      <c r="H28" s="594" t="str">
        <f>'Total Price List'!H663</f>
        <v>network license renewal 2 years</v>
      </c>
      <c r="I28" s="601">
        <f>'Total Price List'!I663</f>
        <v>5162.5</v>
      </c>
      <c r="J28" s="600">
        <f>'Total Price List'!J663</f>
        <v>5162.5</v>
      </c>
    </row>
    <row r="29" spans="1:10" ht="12" customHeight="1" x14ac:dyDescent="0.25">
      <c r="A29" s="607" t="str">
        <f>'Total Price List'!A664</f>
        <v>G Data</v>
      </c>
      <c r="B29" s="595">
        <f>'Total Price List'!B664</f>
        <v>29370</v>
      </c>
      <c r="C29" s="594"/>
      <c r="D29" s="594" t="str">
        <f>'Total Price List'!D664</f>
        <v>Renewal UNI 2Y GD EP ENT L</v>
      </c>
      <c r="E29" s="594" t="str">
        <f>'Total Price List'!E664</f>
        <v>Renewal UNI &gt; 10.000</v>
      </c>
      <c r="F29" s="595" t="str">
        <f>'Total Price List'!F664</f>
        <v>Renewal</v>
      </c>
      <c r="G29" s="594" t="str">
        <f>'Total Price List'!G664</f>
        <v>G Data EndpointProtection + MailSecurity + Backup</v>
      </c>
      <c r="H29" s="594" t="str">
        <f>'Total Price List'!H664</f>
        <v>network license renewal 2 years</v>
      </c>
      <c r="I29" s="601">
        <f>'Total Price List'!I664</f>
        <v>8662.5</v>
      </c>
      <c r="J29" s="600">
        <f>'Total Price List'!J664</f>
        <v>8662.5</v>
      </c>
    </row>
    <row r="30" spans="1:10" ht="12" customHeight="1" x14ac:dyDescent="0.25">
      <c r="A30" s="607" t="str">
        <f>'Total Price List'!A665</f>
        <v>G Data</v>
      </c>
      <c r="B30" s="595">
        <f>'Total Price List'!B665</f>
        <v>29180</v>
      </c>
      <c r="C30" s="594"/>
      <c r="D30" s="594" t="str">
        <f>'Total Price List'!D665</f>
        <v>Renewal UNI 3Y GD EP ENT S</v>
      </c>
      <c r="E30" s="594" t="str">
        <f>'Total Price List'!E665</f>
        <v>Renewal UNI &lt; 2.500</v>
      </c>
      <c r="F30" s="595" t="str">
        <f>'Total Price List'!F665</f>
        <v>Renewal</v>
      </c>
      <c r="G30" s="594" t="str">
        <f>'Total Price List'!G665</f>
        <v>G Data EndpointProtection + MailSecurity + Backup</v>
      </c>
      <c r="H30" s="594" t="str">
        <f>'Total Price List'!H665</f>
        <v>network license renewal 3 years</v>
      </c>
      <c r="I30" s="601">
        <f>'Total Price List'!I665</f>
        <v>4875</v>
      </c>
      <c r="J30" s="600">
        <f>'Total Price List'!J665</f>
        <v>4875</v>
      </c>
    </row>
    <row r="31" spans="1:10" ht="12" customHeight="1" x14ac:dyDescent="0.25">
      <c r="A31" s="607" t="str">
        <f>'Total Price List'!A666</f>
        <v>G Data</v>
      </c>
      <c r="B31" s="595">
        <f>'Total Price List'!B666</f>
        <v>29280</v>
      </c>
      <c r="C31" s="594"/>
      <c r="D31" s="594" t="str">
        <f>'Total Price List'!D666</f>
        <v>Renewal UNI 3Y GD EP ENT M</v>
      </c>
      <c r="E31" s="594" t="str">
        <f>'Total Price List'!E666</f>
        <v>Renewal UNI 2500&lt; x &lt; 10000</v>
      </c>
      <c r="F31" s="595" t="str">
        <f>'Total Price List'!F666</f>
        <v>Renewal</v>
      </c>
      <c r="G31" s="594" t="str">
        <f>'Total Price List'!G666</f>
        <v>G Data EndpointProtection + MailSecurity + Backup</v>
      </c>
      <c r="H31" s="594" t="str">
        <f>'Total Price List'!H666</f>
        <v>network license renewal 3 years</v>
      </c>
      <c r="I31" s="601">
        <f>'Total Price List'!I666</f>
        <v>7375</v>
      </c>
      <c r="J31" s="600">
        <f>'Total Price List'!J666</f>
        <v>7375</v>
      </c>
    </row>
    <row r="32" spans="1:10" ht="12" customHeight="1" x14ac:dyDescent="0.25">
      <c r="A32" s="607" t="str">
        <f>'Total Price List'!A667</f>
        <v>G Data</v>
      </c>
      <c r="B32" s="595">
        <f>'Total Price List'!B667</f>
        <v>29380</v>
      </c>
      <c r="C32" s="594"/>
      <c r="D32" s="594" t="str">
        <f>'Total Price List'!D667</f>
        <v>Renewal UNI 3Y GD EP ENT L</v>
      </c>
      <c r="E32" s="594" t="str">
        <f>'Total Price List'!E667</f>
        <v>Renewal UNI &gt; 10.000</v>
      </c>
      <c r="F32" s="595" t="str">
        <f>'Total Price List'!F667</f>
        <v>Renewal</v>
      </c>
      <c r="G32" s="594" t="str">
        <f>'Total Price List'!G667</f>
        <v>G Data EndpointProtection + MailSecurity + Backup</v>
      </c>
      <c r="H32" s="594" t="str">
        <f>'Total Price List'!H667</f>
        <v>network license renewal 3 years</v>
      </c>
      <c r="I32" s="601">
        <f>'Total Price List'!I667</f>
        <v>12375</v>
      </c>
      <c r="J32" s="600">
        <f>'Total Price List'!J667</f>
        <v>12375</v>
      </c>
    </row>
    <row r="33" spans="1:10" ht="12" customHeight="1" x14ac:dyDescent="0.25">
      <c r="A33" s="607" t="str">
        <f>'Total Price List'!A668</f>
        <v>G Data</v>
      </c>
      <c r="B33" s="595">
        <f>'Total Price List'!B668</f>
        <v>29460</v>
      </c>
      <c r="C33" s="594"/>
      <c r="D33" s="594" t="str">
        <f>'Total Price List'!D668</f>
        <v>Renewal UNI 1Y GD PM S</v>
      </c>
      <c r="E33" s="594" t="str">
        <f>'Total Price List'!E668</f>
        <v>Renewal UNI &lt; 2.500</v>
      </c>
      <c r="F33" s="595" t="str">
        <f>'Total Price List'!F668</f>
        <v>Renewal</v>
      </c>
      <c r="G33" s="594" t="str">
        <f>'Total Price List'!G668</f>
        <v>G Data PatchMangement</v>
      </c>
      <c r="H33" s="594" t="str">
        <f>'Total Price List'!H668</f>
        <v>network license renewal 1 year</v>
      </c>
      <c r="I33" s="601">
        <f>'Total Price List'!I668</f>
        <v>2050</v>
      </c>
      <c r="J33" s="600">
        <f>'Total Price List'!J668</f>
        <v>2050</v>
      </c>
    </row>
    <row r="34" spans="1:10" ht="12" customHeight="1" x14ac:dyDescent="0.25">
      <c r="A34" s="607" t="str">
        <f>'Total Price List'!A669</f>
        <v>G Data</v>
      </c>
      <c r="B34" s="595">
        <f>'Total Price List'!B669</f>
        <v>29560</v>
      </c>
      <c r="C34" s="594"/>
      <c r="D34" s="594" t="str">
        <f>'Total Price List'!D669</f>
        <v>Renewal UNI 1Y GD PM M</v>
      </c>
      <c r="E34" s="594" t="str">
        <f>'Total Price List'!E669</f>
        <v>Renewal UNI 2500&lt; x &lt; 10000</v>
      </c>
      <c r="F34" s="595" t="str">
        <f>'Total Price List'!F669</f>
        <v>Renewal</v>
      </c>
      <c r="G34" s="594" t="str">
        <f>'Total Price List'!G669</f>
        <v>G Data PatchMangement</v>
      </c>
      <c r="H34" s="594" t="str">
        <f>'Total Price List'!H669</f>
        <v>network license renewal 1 year</v>
      </c>
      <c r="I34" s="601">
        <f>'Total Price List'!I669</f>
        <v>3450</v>
      </c>
      <c r="J34" s="600">
        <f>'Total Price List'!J669</f>
        <v>3450</v>
      </c>
    </row>
    <row r="35" spans="1:10" ht="12" customHeight="1" x14ac:dyDescent="0.25">
      <c r="A35" s="607" t="str">
        <f>'Total Price List'!A670</f>
        <v>G Data</v>
      </c>
      <c r="B35" s="595">
        <f>'Total Price List'!B670</f>
        <v>29660</v>
      </c>
      <c r="C35" s="594"/>
      <c r="D35" s="594" t="str">
        <f>'Total Price List'!D670</f>
        <v>Renewal UNI 1Y GD PM L</v>
      </c>
      <c r="E35" s="594" t="str">
        <f>'Total Price List'!E670</f>
        <v>Renewal UNI &gt; 10.000</v>
      </c>
      <c r="F35" s="595" t="str">
        <f>'Total Price List'!F670</f>
        <v>Renewal</v>
      </c>
      <c r="G35" s="594" t="str">
        <f>'Total Price List'!G670</f>
        <v>G Data PatchMangement</v>
      </c>
      <c r="H35" s="594" t="str">
        <f>'Total Price List'!H670</f>
        <v>network license renewal 1 year</v>
      </c>
      <c r="I35" s="601">
        <f>'Total Price List'!I670</f>
        <v>6220</v>
      </c>
      <c r="J35" s="600">
        <f>'Total Price List'!J670</f>
        <v>6220</v>
      </c>
    </row>
    <row r="36" spans="1:10" ht="12" customHeight="1" x14ac:dyDescent="0.25">
      <c r="A36" s="607" t="str">
        <f>'Total Price List'!A671</f>
        <v>G Data</v>
      </c>
      <c r="B36" s="595">
        <f>'Total Price List'!B671</f>
        <v>29470</v>
      </c>
      <c r="C36" s="594"/>
      <c r="D36" s="594" t="str">
        <f>'Total Price List'!D671</f>
        <v>Renewal UNI 2Y GD PM S</v>
      </c>
      <c r="E36" s="594" t="str">
        <f>'Total Price List'!E671</f>
        <v>Renewal UNI &lt; 2.500</v>
      </c>
      <c r="F36" s="595" t="str">
        <f>'Total Price List'!F671</f>
        <v>Renewal</v>
      </c>
      <c r="G36" s="594" t="str">
        <f>'Total Price List'!G671</f>
        <v>G Data PatchMangement</v>
      </c>
      <c r="H36" s="594" t="str">
        <f>'Total Price List'!H671</f>
        <v>network license renewal 2 years</v>
      </c>
      <c r="I36" s="601">
        <f>'Total Price List'!I671</f>
        <v>4100</v>
      </c>
      <c r="J36" s="600">
        <f>'Total Price List'!J671</f>
        <v>4100</v>
      </c>
    </row>
    <row r="37" spans="1:10" ht="12" customHeight="1" x14ac:dyDescent="0.25">
      <c r="A37" s="607" t="str">
        <f>'Total Price List'!A672</f>
        <v>G Data</v>
      </c>
      <c r="B37" s="595">
        <f>'Total Price List'!B672</f>
        <v>29570</v>
      </c>
      <c r="C37" s="594"/>
      <c r="D37" s="594" t="str">
        <f>'Total Price List'!D672</f>
        <v>Renewal UNI 2Y GD PM M</v>
      </c>
      <c r="E37" s="594" t="str">
        <f>'Total Price List'!E672</f>
        <v>Renewal UNI 2500&lt; x &lt; 10000</v>
      </c>
      <c r="F37" s="595" t="str">
        <f>'Total Price List'!F672</f>
        <v>Renewal</v>
      </c>
      <c r="G37" s="594" t="str">
        <f>'Total Price List'!G672</f>
        <v>G Data PatchMangement</v>
      </c>
      <c r="H37" s="594" t="str">
        <f>'Total Price List'!H672</f>
        <v>network license renewal 2 years</v>
      </c>
      <c r="I37" s="601">
        <f>'Total Price List'!I672</f>
        <v>6900</v>
      </c>
      <c r="J37" s="600">
        <f>'Total Price List'!J672</f>
        <v>6900</v>
      </c>
    </row>
    <row r="38" spans="1:10" ht="12" customHeight="1" x14ac:dyDescent="0.25">
      <c r="A38" s="607" t="str">
        <f>'Total Price List'!A673</f>
        <v>G Data</v>
      </c>
      <c r="B38" s="595">
        <f>'Total Price List'!B673</f>
        <v>29670</v>
      </c>
      <c r="C38" s="594"/>
      <c r="D38" s="594" t="str">
        <f>'Total Price List'!D673</f>
        <v>Renewal UNI 2Y GD PM L</v>
      </c>
      <c r="E38" s="594" t="str">
        <f>'Total Price List'!E673</f>
        <v>Renewal UNI &gt; 10.000</v>
      </c>
      <c r="F38" s="595" t="str">
        <f>'Total Price List'!F673</f>
        <v>Renewal</v>
      </c>
      <c r="G38" s="594" t="str">
        <f>'Total Price List'!G673</f>
        <v>G Data PatchMangement</v>
      </c>
      <c r="H38" s="594" t="str">
        <f>'Total Price List'!H673</f>
        <v>network license renewal 2 years</v>
      </c>
      <c r="I38" s="601">
        <f>'Total Price List'!I673</f>
        <v>12440</v>
      </c>
      <c r="J38" s="600">
        <f>'Total Price List'!J673</f>
        <v>12440</v>
      </c>
    </row>
    <row r="39" spans="1:10" ht="12" customHeight="1" x14ac:dyDescent="0.25">
      <c r="A39" s="607" t="str">
        <f>'Total Price List'!A674</f>
        <v>G Data</v>
      </c>
      <c r="B39" s="595">
        <f>'Total Price List'!B674</f>
        <v>29480</v>
      </c>
      <c r="C39" s="594"/>
      <c r="D39" s="594" t="str">
        <f>'Total Price List'!D674</f>
        <v>Renewal UNI 3Y GD PM S</v>
      </c>
      <c r="E39" s="594" t="str">
        <f>'Total Price List'!E674</f>
        <v>Renewal UNI &lt; 2.500</v>
      </c>
      <c r="F39" s="595" t="str">
        <f>'Total Price List'!F674</f>
        <v>Renewal</v>
      </c>
      <c r="G39" s="594" t="str">
        <f>'Total Price List'!G674</f>
        <v>G Data PatchMangement</v>
      </c>
      <c r="H39" s="594" t="str">
        <f>'Total Price List'!H674</f>
        <v>network license renewal 3 years</v>
      </c>
      <c r="I39" s="601">
        <f>'Total Price List'!I674</f>
        <v>6150</v>
      </c>
      <c r="J39" s="600">
        <f>'Total Price List'!J674</f>
        <v>6150</v>
      </c>
    </row>
    <row r="40" spans="1:10" ht="12" customHeight="1" x14ac:dyDescent="0.25">
      <c r="A40" s="607" t="str">
        <f>'Total Price List'!A675</f>
        <v>G Data</v>
      </c>
      <c r="B40" s="595">
        <f>'Total Price List'!B675</f>
        <v>29580</v>
      </c>
      <c r="C40" s="594"/>
      <c r="D40" s="594" t="str">
        <f>'Total Price List'!D675</f>
        <v>Renewal UNI 3Y GD PM M</v>
      </c>
      <c r="E40" s="594" t="str">
        <f>'Total Price List'!E675</f>
        <v>Renewal UNI 2500&lt; x &lt; 10000</v>
      </c>
      <c r="F40" s="595" t="str">
        <f>'Total Price List'!F675</f>
        <v>Renewal</v>
      </c>
      <c r="G40" s="594" t="str">
        <f>'Total Price List'!G675</f>
        <v>G Data PatchMangement</v>
      </c>
      <c r="H40" s="594" t="str">
        <f>'Total Price List'!H675</f>
        <v>network license renewal 3 years</v>
      </c>
      <c r="I40" s="601">
        <f>'Total Price List'!I675</f>
        <v>10350</v>
      </c>
      <c r="J40" s="600">
        <f>'Total Price List'!J675</f>
        <v>10350</v>
      </c>
    </row>
    <row r="41" spans="1:10" ht="12" customHeight="1" thickBot="1" x14ac:dyDescent="0.3">
      <c r="A41" s="607" t="str">
        <f>'Total Price List'!A676</f>
        <v>G Data</v>
      </c>
      <c r="B41" s="595">
        <f>'Total Price List'!B676</f>
        <v>29680</v>
      </c>
      <c r="C41" s="594"/>
      <c r="D41" s="594" t="str">
        <f>'Total Price List'!D676</f>
        <v>Renewal UNI 3Y GD PM L</v>
      </c>
      <c r="E41" s="594" t="str">
        <f>'Total Price List'!E676</f>
        <v>Renewal UNI &gt; 10.000</v>
      </c>
      <c r="F41" s="595" t="str">
        <f>'Total Price List'!F676</f>
        <v>Renewal</v>
      </c>
      <c r="G41" s="594" t="str">
        <f>'Total Price List'!G676</f>
        <v>G Data PatchMangement</v>
      </c>
      <c r="H41" s="594" t="str">
        <f>'Total Price List'!H676</f>
        <v>network license renewal 3 years</v>
      </c>
      <c r="I41" s="601">
        <f>'Total Price List'!I676</f>
        <v>18660</v>
      </c>
      <c r="J41" s="600">
        <f>'Total Price List'!J676</f>
        <v>18660</v>
      </c>
    </row>
    <row r="42" spans="1:10" s="591" customFormat="1" ht="12" customHeight="1" x14ac:dyDescent="0.25">
      <c r="A42" s="608" t="str">
        <f>'Total Price List'!A352</f>
        <v>G Data GOV network license</v>
      </c>
      <c r="B42" s="608"/>
      <c r="C42" s="608"/>
      <c r="D42" s="608"/>
      <c r="E42" s="608"/>
      <c r="F42" s="608"/>
      <c r="G42" s="608"/>
      <c r="H42" s="608"/>
      <c r="I42" s="608"/>
      <c r="J42" s="608"/>
    </row>
    <row r="43" spans="1:10" ht="12" customHeight="1" x14ac:dyDescent="0.25">
      <c r="A43" s="606" t="str">
        <f>'Total Price List'!A353</f>
        <v>G Data</v>
      </c>
      <c r="B43" s="593">
        <f>'Total Price List'!B353</f>
        <v>20219</v>
      </c>
      <c r="C43" s="592"/>
      <c r="D43" s="592" t="str">
        <f>'Total Price List'!D353</f>
        <v>License GOV 1Y GD AV BUS</v>
      </c>
      <c r="E43" s="592" t="str">
        <f>'Total Price List'!E353</f>
        <v>Licence GOV</v>
      </c>
      <c r="F43" s="593" t="str">
        <f>'Total Price List'!F353</f>
        <v>License</v>
      </c>
      <c r="G43" s="592" t="str">
        <f>'Total Price List'!G353</f>
        <v xml:space="preserve">G Data AntiVirus Business </v>
      </c>
      <c r="H43" s="592" t="str">
        <f>'Total Price List'!H353</f>
        <v>network license government 1 year</v>
      </c>
      <c r="I43" s="598">
        <f>'Total Price List'!I353</f>
        <v>11</v>
      </c>
      <c r="J43" s="599">
        <f>'Total Price List'!J353</f>
        <v>11</v>
      </c>
    </row>
    <row r="44" spans="1:10" ht="12" customHeight="1" x14ac:dyDescent="0.25">
      <c r="A44" s="606" t="str">
        <f>'Total Price List'!A354</f>
        <v>G Data</v>
      </c>
      <c r="B44" s="593">
        <f>'Total Price List'!B354</f>
        <v>20229</v>
      </c>
      <c r="C44" s="592"/>
      <c r="D44" s="592" t="str">
        <f>'Total Price List'!D354</f>
        <v>License GOV 2Y GD AV BUS</v>
      </c>
      <c r="E44" s="592" t="str">
        <f>'Total Price List'!E354</f>
        <v>Licence GOV</v>
      </c>
      <c r="F44" s="593" t="str">
        <f>'Total Price List'!F354</f>
        <v>License</v>
      </c>
      <c r="G44" s="592" t="str">
        <f>'Total Price List'!G354</f>
        <v xml:space="preserve">G Data AntiVirus Business </v>
      </c>
      <c r="H44" s="592" t="str">
        <f>'Total Price List'!H354</f>
        <v>network license government 2 years</v>
      </c>
      <c r="I44" s="598">
        <f>'Total Price List'!I354</f>
        <v>18</v>
      </c>
      <c r="J44" s="599">
        <f>'Total Price List'!J354</f>
        <v>18</v>
      </c>
    </row>
    <row r="45" spans="1:10" ht="12" customHeight="1" x14ac:dyDescent="0.25">
      <c r="A45" s="606" t="str">
        <f>'Total Price List'!A355</f>
        <v>G Data</v>
      </c>
      <c r="B45" s="593">
        <f>'Total Price List'!B355</f>
        <v>20239</v>
      </c>
      <c r="C45" s="592"/>
      <c r="D45" s="592" t="str">
        <f>'Total Price List'!D355</f>
        <v>License GOV 3Y GD AV BUS</v>
      </c>
      <c r="E45" s="592" t="str">
        <f>'Total Price List'!E355</f>
        <v>Licence GOV</v>
      </c>
      <c r="F45" s="593" t="str">
        <f>'Total Price List'!F355</f>
        <v>License</v>
      </c>
      <c r="G45" s="592" t="str">
        <f>'Total Price List'!G355</f>
        <v xml:space="preserve">G Data AntiVirus Business </v>
      </c>
      <c r="H45" s="592" t="str">
        <f>'Total Price List'!H355</f>
        <v>network license government 3 years</v>
      </c>
      <c r="I45" s="598">
        <f>'Total Price List'!I355</f>
        <v>25</v>
      </c>
      <c r="J45" s="599">
        <f>'Total Price List'!J355</f>
        <v>25</v>
      </c>
    </row>
    <row r="46" spans="1:10" s="111" customFormat="1" ht="12" customHeight="1" x14ac:dyDescent="0.25">
      <c r="A46" s="606" t="str">
        <f>'Total Price List'!A356</f>
        <v>G Data</v>
      </c>
      <c r="B46" s="593">
        <f>'Total Price List'!B356</f>
        <v>20319</v>
      </c>
      <c r="C46" s="592"/>
      <c r="D46" s="592" t="str">
        <f>'Total Price List'!D356</f>
        <v>License GOV 1Y GD AV ENT</v>
      </c>
      <c r="E46" s="592" t="str">
        <f>'Total Price List'!E356</f>
        <v>License GOV</v>
      </c>
      <c r="F46" s="593" t="str">
        <f>'Total Price List'!F356</f>
        <v>License</v>
      </c>
      <c r="G46" s="592" t="str">
        <f>'Total Price List'!G356</f>
        <v>G Data AntiVirus + MailSecurity + Backup</v>
      </c>
      <c r="H46" s="592" t="str">
        <f>'Total Price List'!H356</f>
        <v>network license government 1 year</v>
      </c>
      <c r="I46" s="598">
        <f>'Total Price List'!I356</f>
        <v>12</v>
      </c>
      <c r="J46" s="599">
        <f>'Total Price List'!J356</f>
        <v>12</v>
      </c>
    </row>
    <row r="47" spans="1:10" s="111" customFormat="1" ht="12" customHeight="1" x14ac:dyDescent="0.25">
      <c r="A47" s="606" t="str">
        <f>'Total Price List'!A357</f>
        <v>G Data</v>
      </c>
      <c r="B47" s="593">
        <f>'Total Price List'!B357</f>
        <v>20329</v>
      </c>
      <c r="C47" s="592"/>
      <c r="D47" s="592" t="str">
        <f>'Total Price List'!D357</f>
        <v>License GOV 2Y GD AV ENT</v>
      </c>
      <c r="E47" s="592" t="str">
        <f>'Total Price List'!E357</f>
        <v>License GOV</v>
      </c>
      <c r="F47" s="593" t="str">
        <f>'Total Price List'!F357</f>
        <v>License</v>
      </c>
      <c r="G47" s="592" t="str">
        <f>'Total Price List'!G357</f>
        <v>G Data AntiVirus + MailSecurity + Backup</v>
      </c>
      <c r="H47" s="592" t="str">
        <f>'Total Price List'!H357</f>
        <v>network license government 2 years</v>
      </c>
      <c r="I47" s="598">
        <f>'Total Price List'!I357</f>
        <v>20</v>
      </c>
      <c r="J47" s="599">
        <f>'Total Price List'!J357</f>
        <v>20</v>
      </c>
    </row>
    <row r="48" spans="1:10" s="111" customFormat="1" ht="12" customHeight="1" x14ac:dyDescent="0.25">
      <c r="A48" s="606" t="str">
        <f>'Total Price List'!A358</f>
        <v>G Data</v>
      </c>
      <c r="B48" s="593">
        <f>'Total Price List'!B358</f>
        <v>20339</v>
      </c>
      <c r="C48" s="592"/>
      <c r="D48" s="592" t="str">
        <f>'Total Price List'!D358</f>
        <v>License GOV 3Y GD AV ENT</v>
      </c>
      <c r="E48" s="592" t="str">
        <f>'Total Price List'!E358</f>
        <v>License GOV</v>
      </c>
      <c r="F48" s="593" t="str">
        <f>'Total Price List'!F358</f>
        <v>License</v>
      </c>
      <c r="G48" s="592" t="str">
        <f>'Total Price List'!G358</f>
        <v>G Data AntiVirus + MailSecurity + Backup</v>
      </c>
      <c r="H48" s="592" t="str">
        <f>'Total Price List'!H358</f>
        <v>network license government 3 years</v>
      </c>
      <c r="I48" s="598">
        <f>'Total Price List'!I358</f>
        <v>28</v>
      </c>
      <c r="J48" s="599">
        <f>'Total Price List'!J358</f>
        <v>28</v>
      </c>
    </row>
    <row r="49" spans="1:10" s="111" customFormat="1" ht="12" customHeight="1" x14ac:dyDescent="0.25">
      <c r="A49" s="606" t="str">
        <f>'Total Price List'!A359</f>
        <v>G Data</v>
      </c>
      <c r="B49" s="593">
        <f>'Total Price List'!B359</f>
        <v>20419</v>
      </c>
      <c r="C49" s="592"/>
      <c r="D49" s="592" t="str">
        <f>'Total Price List'!D359</f>
        <v>License GOV 1Y GD CS BUS</v>
      </c>
      <c r="E49" s="592" t="str">
        <f>'Total Price List'!E359</f>
        <v>Licence GOV</v>
      </c>
      <c r="F49" s="593" t="str">
        <f>'Total Price List'!F359</f>
        <v>License</v>
      </c>
      <c r="G49" s="592" t="str">
        <f>'Total Price List'!G359</f>
        <v>G Data ClientSecurity Business</v>
      </c>
      <c r="H49" s="592" t="str">
        <f>'Total Price List'!H359</f>
        <v>network license government 1 year</v>
      </c>
      <c r="I49" s="598">
        <f>'Total Price List'!I359</f>
        <v>12</v>
      </c>
      <c r="J49" s="599">
        <f>'Total Price List'!J359</f>
        <v>12</v>
      </c>
    </row>
    <row r="50" spans="1:10" s="111" customFormat="1" ht="12" customHeight="1" x14ac:dyDescent="0.25">
      <c r="A50" s="606" t="str">
        <f>'Total Price List'!A360</f>
        <v>G Data</v>
      </c>
      <c r="B50" s="593">
        <f>'Total Price List'!B360</f>
        <v>20429</v>
      </c>
      <c r="C50" s="592"/>
      <c r="D50" s="592" t="str">
        <f>'Total Price List'!D360</f>
        <v>License GOV 2Y GD CS BUS</v>
      </c>
      <c r="E50" s="592" t="str">
        <f>'Total Price List'!E360</f>
        <v>Licence GOV</v>
      </c>
      <c r="F50" s="593" t="str">
        <f>'Total Price List'!F360</f>
        <v>License</v>
      </c>
      <c r="G50" s="592" t="str">
        <f>'Total Price List'!G360</f>
        <v>G Data ClientSecurity Business</v>
      </c>
      <c r="H50" s="592" t="str">
        <f>'Total Price List'!H360</f>
        <v>network license government 2 years</v>
      </c>
      <c r="I50" s="598">
        <f>'Total Price List'!I360</f>
        <v>20</v>
      </c>
      <c r="J50" s="599">
        <f>'Total Price List'!J360</f>
        <v>20</v>
      </c>
    </row>
    <row r="51" spans="1:10" s="111" customFormat="1" ht="12" customHeight="1" x14ac:dyDescent="0.25">
      <c r="A51" s="606" t="str">
        <f>'Total Price List'!A361</f>
        <v>G Data</v>
      </c>
      <c r="B51" s="593">
        <f>'Total Price List'!B361</f>
        <v>20439</v>
      </c>
      <c r="C51" s="592"/>
      <c r="D51" s="592" t="str">
        <f>'Total Price List'!D361</f>
        <v>License GOV 3Y GD CS BUS</v>
      </c>
      <c r="E51" s="592" t="str">
        <f>'Total Price List'!E361</f>
        <v>Licence GOV</v>
      </c>
      <c r="F51" s="593" t="str">
        <f>'Total Price List'!F361</f>
        <v>License</v>
      </c>
      <c r="G51" s="592" t="str">
        <f>'Total Price List'!G361</f>
        <v>G Data ClientSecurity Business</v>
      </c>
      <c r="H51" s="592" t="str">
        <f>'Total Price List'!H361</f>
        <v>network license government 3 years</v>
      </c>
      <c r="I51" s="598">
        <f>'Total Price List'!I361</f>
        <v>28</v>
      </c>
      <c r="J51" s="599">
        <f>'Total Price List'!J361</f>
        <v>28</v>
      </c>
    </row>
    <row r="52" spans="1:10" s="111" customFormat="1" ht="12" customHeight="1" x14ac:dyDescent="0.25">
      <c r="A52" s="606" t="str">
        <f>'Total Price List'!A362</f>
        <v>G Data</v>
      </c>
      <c r="B52" s="593">
        <f>'Total Price List'!B362</f>
        <v>20519</v>
      </c>
      <c r="C52" s="592"/>
      <c r="D52" s="592" t="str">
        <f>'Total Price List'!D362</f>
        <v>License GOV 1Y GD CS ENT</v>
      </c>
      <c r="E52" s="592" t="str">
        <f>'Total Price List'!E362</f>
        <v>Licence GOV</v>
      </c>
      <c r="F52" s="593" t="str">
        <f>'Total Price List'!F362</f>
        <v>License</v>
      </c>
      <c r="G52" s="592" t="str">
        <f>'Total Price List'!G362</f>
        <v>G Data ClientSecurity + MailSecurity + Backup</v>
      </c>
      <c r="H52" s="592" t="str">
        <f>'Total Price List'!H362</f>
        <v>network license government 1 year</v>
      </c>
      <c r="I52" s="598">
        <f>'Total Price List'!I362</f>
        <v>13</v>
      </c>
      <c r="J52" s="599">
        <f>'Total Price List'!J362</f>
        <v>13</v>
      </c>
    </row>
    <row r="53" spans="1:10" s="111" customFormat="1" ht="12" customHeight="1" x14ac:dyDescent="0.25">
      <c r="A53" s="606" t="str">
        <f>'Total Price List'!A363</f>
        <v>G Data</v>
      </c>
      <c r="B53" s="593">
        <f>'Total Price List'!B363</f>
        <v>20529</v>
      </c>
      <c r="C53" s="592"/>
      <c r="D53" s="592" t="str">
        <f>'Total Price List'!D363</f>
        <v>License GOV 2Y GD CS ENT</v>
      </c>
      <c r="E53" s="592" t="str">
        <f>'Total Price List'!E363</f>
        <v>Licence GOV</v>
      </c>
      <c r="F53" s="593" t="str">
        <f>'Total Price List'!F363</f>
        <v>License</v>
      </c>
      <c r="G53" s="592" t="str">
        <f>'Total Price List'!G363</f>
        <v>G Data ClientSecurity + MailSecurity + Backup</v>
      </c>
      <c r="H53" s="592" t="str">
        <f>'Total Price List'!H363</f>
        <v>network license government 2 years</v>
      </c>
      <c r="I53" s="598">
        <f>'Total Price List'!I363</f>
        <v>22</v>
      </c>
      <c r="J53" s="599">
        <f>'Total Price List'!J363</f>
        <v>22</v>
      </c>
    </row>
    <row r="54" spans="1:10" s="111" customFormat="1" ht="12" customHeight="1" x14ac:dyDescent="0.25">
      <c r="A54" s="606" t="str">
        <f>'Total Price List'!A364</f>
        <v>G Data</v>
      </c>
      <c r="B54" s="593">
        <f>'Total Price List'!B364</f>
        <v>20539</v>
      </c>
      <c r="C54" s="592"/>
      <c r="D54" s="592" t="str">
        <f>'Total Price List'!D364</f>
        <v>License GOV 3Y GD CS ENT</v>
      </c>
      <c r="E54" s="592" t="str">
        <f>'Total Price List'!E364</f>
        <v>Licence GOV</v>
      </c>
      <c r="F54" s="593" t="str">
        <f>'Total Price List'!F364</f>
        <v>License</v>
      </c>
      <c r="G54" s="592" t="str">
        <f>'Total Price List'!G364</f>
        <v>G Data ClientSecurity + MailSecurity + Backup</v>
      </c>
      <c r="H54" s="592" t="str">
        <f>'Total Price List'!H364</f>
        <v>network license government 3 years</v>
      </c>
      <c r="I54" s="598">
        <f>'Total Price List'!I364</f>
        <v>31</v>
      </c>
      <c r="J54" s="599">
        <f>'Total Price List'!J364</f>
        <v>31</v>
      </c>
    </row>
    <row r="55" spans="1:10" ht="12" customHeight="1" x14ac:dyDescent="0.25">
      <c r="A55" s="606" t="str">
        <f>'Total Price List'!A365</f>
        <v>G Data</v>
      </c>
      <c r="B55" s="593">
        <f>'Total Price List'!B365</f>
        <v>20919</v>
      </c>
      <c r="C55" s="592"/>
      <c r="D55" s="592" t="str">
        <f>'Total Price List'!D365</f>
        <v>License GOV 1Y GD EP BUS</v>
      </c>
      <c r="E55" s="592" t="str">
        <f>'Total Price List'!E365</f>
        <v>Licence GOV</v>
      </c>
      <c r="F55" s="593" t="str">
        <f>'Total Price List'!F365</f>
        <v>License</v>
      </c>
      <c r="G55" s="592" t="str">
        <f>'Total Price List'!G365</f>
        <v>G Data EndpointProtection Business</v>
      </c>
      <c r="H55" s="592" t="str">
        <f>'Total Price List'!H365</f>
        <v>network license government 1 year</v>
      </c>
      <c r="I55" s="598">
        <f>'Total Price List'!I365</f>
        <v>13</v>
      </c>
      <c r="J55" s="599">
        <f>'Total Price List'!J365</f>
        <v>13</v>
      </c>
    </row>
    <row r="56" spans="1:10" ht="12" customHeight="1" x14ac:dyDescent="0.25">
      <c r="A56" s="606" t="str">
        <f>'Total Price List'!A366</f>
        <v>G Data</v>
      </c>
      <c r="B56" s="593">
        <f>'Total Price List'!B366</f>
        <v>20929</v>
      </c>
      <c r="C56" s="592"/>
      <c r="D56" s="592" t="str">
        <f>'Total Price List'!D366</f>
        <v>License GOV 2Y GD EP BUS</v>
      </c>
      <c r="E56" s="592" t="str">
        <f>'Total Price List'!E366</f>
        <v>Licence GOV</v>
      </c>
      <c r="F56" s="593" t="str">
        <f>'Total Price List'!F366</f>
        <v>License</v>
      </c>
      <c r="G56" s="592" t="str">
        <f>'Total Price List'!G366</f>
        <v>G Data EndpointProtection Business</v>
      </c>
      <c r="H56" s="592" t="str">
        <f>'Total Price List'!H366</f>
        <v>network license government 2 years</v>
      </c>
      <c r="I56" s="598">
        <f>'Total Price List'!I366</f>
        <v>22</v>
      </c>
      <c r="J56" s="599">
        <f>'Total Price List'!J366</f>
        <v>22</v>
      </c>
    </row>
    <row r="57" spans="1:10" ht="12" customHeight="1" x14ac:dyDescent="0.25">
      <c r="A57" s="606" t="str">
        <f>'Total Price List'!A367</f>
        <v>G Data</v>
      </c>
      <c r="B57" s="593">
        <f>'Total Price List'!B367</f>
        <v>20939</v>
      </c>
      <c r="C57" s="592"/>
      <c r="D57" s="592" t="str">
        <f>'Total Price List'!D367</f>
        <v>License GOV 3Y GD EP BUS</v>
      </c>
      <c r="E57" s="592" t="str">
        <f>'Total Price List'!E367</f>
        <v>Licence GOV</v>
      </c>
      <c r="F57" s="593" t="str">
        <f>'Total Price List'!F367</f>
        <v>License</v>
      </c>
      <c r="G57" s="592" t="str">
        <f>'Total Price List'!G367</f>
        <v>G Data EndpointProtection Business</v>
      </c>
      <c r="H57" s="592" t="str">
        <f>'Total Price List'!H367</f>
        <v>network license government 3 years</v>
      </c>
      <c r="I57" s="598">
        <f>'Total Price List'!I367</f>
        <v>31</v>
      </c>
      <c r="J57" s="599">
        <f>'Total Price List'!J367</f>
        <v>31</v>
      </c>
    </row>
    <row r="58" spans="1:10" ht="12" customHeight="1" x14ac:dyDescent="0.25">
      <c r="A58" s="606" t="str">
        <f>'Total Price List'!A368</f>
        <v>G Data</v>
      </c>
      <c r="B58" s="593">
        <f>'Total Price List'!B368</f>
        <v>21019</v>
      </c>
      <c r="C58" s="592"/>
      <c r="D58" s="592" t="str">
        <f>'Total Price List'!D368</f>
        <v>Licence GOV 1Y GD EP ENT</v>
      </c>
      <c r="E58" s="592" t="str">
        <f>'Total Price List'!E368</f>
        <v>Licence GOV</v>
      </c>
      <c r="F58" s="593" t="str">
        <f>'Total Price List'!F368</f>
        <v>License</v>
      </c>
      <c r="G58" s="592" t="str">
        <f>'Total Price List'!G368</f>
        <v>G Data EndpointProtection + MailSecurity + Backup</v>
      </c>
      <c r="H58" s="592" t="str">
        <f>'Total Price List'!H368</f>
        <v>network license government 1 year</v>
      </c>
      <c r="I58" s="598">
        <f>'Total Price List'!I368</f>
        <v>14</v>
      </c>
      <c r="J58" s="599">
        <f>'Total Price List'!J368</f>
        <v>14</v>
      </c>
    </row>
    <row r="59" spans="1:10" ht="12" customHeight="1" x14ac:dyDescent="0.25">
      <c r="A59" s="606" t="str">
        <f>'Total Price List'!A369</f>
        <v>G Data</v>
      </c>
      <c r="B59" s="593">
        <f>'Total Price List'!B369</f>
        <v>21029</v>
      </c>
      <c r="C59" s="592"/>
      <c r="D59" s="592" t="str">
        <f>'Total Price List'!D369</f>
        <v>Licence GOV 2Y GD EP ENT</v>
      </c>
      <c r="E59" s="592" t="str">
        <f>'Total Price List'!E369</f>
        <v>Licence GOV</v>
      </c>
      <c r="F59" s="593" t="str">
        <f>'Total Price List'!F369</f>
        <v>License</v>
      </c>
      <c r="G59" s="592" t="str">
        <f>'Total Price List'!G369</f>
        <v>G Data EndpointProtection + MailSecurity + Backup</v>
      </c>
      <c r="H59" s="592" t="str">
        <f>'Total Price List'!H369</f>
        <v>network license government 2 years</v>
      </c>
      <c r="I59" s="598">
        <f>'Total Price List'!I369</f>
        <v>23</v>
      </c>
      <c r="J59" s="599">
        <f>'Total Price List'!J369</f>
        <v>23</v>
      </c>
    </row>
    <row r="60" spans="1:10" ht="12" customHeight="1" x14ac:dyDescent="0.25">
      <c r="A60" s="606" t="str">
        <f>'Total Price List'!A370</f>
        <v>G Data</v>
      </c>
      <c r="B60" s="593">
        <f>'Total Price List'!B370</f>
        <v>21039</v>
      </c>
      <c r="C60" s="592"/>
      <c r="D60" s="592" t="str">
        <f>'Total Price List'!D370</f>
        <v>Licence GOV 3Y GD EP ENT</v>
      </c>
      <c r="E60" s="592" t="str">
        <f>'Total Price List'!E370</f>
        <v>Licence GOV</v>
      </c>
      <c r="F60" s="593" t="str">
        <f>'Total Price List'!F370</f>
        <v>License</v>
      </c>
      <c r="G60" s="592" t="str">
        <f>'Total Price List'!G370</f>
        <v>G Data EndpointProtection + MailSecurity + Backup</v>
      </c>
      <c r="H60" s="592" t="str">
        <f>'Total Price List'!H370</f>
        <v>network license government 3 years</v>
      </c>
      <c r="I60" s="598">
        <f>'Total Price List'!I370</f>
        <v>34</v>
      </c>
      <c r="J60" s="599">
        <f>'Total Price List'!J370</f>
        <v>34</v>
      </c>
    </row>
    <row r="61" spans="1:10" ht="12" customHeight="1" x14ac:dyDescent="0.25">
      <c r="A61" s="606" t="str">
        <f>'Total Price List'!A371</f>
        <v>G Data</v>
      </c>
      <c r="B61" s="593">
        <f>'Total Price List'!B371</f>
        <v>22119</v>
      </c>
      <c r="C61" s="592"/>
      <c r="D61" s="592" t="str">
        <f>'Total Price List'!D371</f>
        <v>License GOV 1Y GD PM</v>
      </c>
      <c r="E61" s="592" t="str">
        <f>'Total Price List'!E371</f>
        <v>License GOV</v>
      </c>
      <c r="F61" s="593" t="str">
        <f>'Total Price List'!F371</f>
        <v>License</v>
      </c>
      <c r="G61" s="592" t="str">
        <f>'Total Price List'!G371</f>
        <v>G Data PatchMangement</v>
      </c>
      <c r="H61" s="592" t="str">
        <f>'Total Price List'!H371</f>
        <v>network license 1 year</v>
      </c>
      <c r="I61" s="598">
        <f>'Total Price List'!I371</f>
        <v>16</v>
      </c>
      <c r="J61" s="599">
        <f>'Total Price List'!J371</f>
        <v>16</v>
      </c>
    </row>
    <row r="62" spans="1:10" ht="12" customHeight="1" x14ac:dyDescent="0.25">
      <c r="A62" s="606" t="str">
        <f>'Total Price List'!A372</f>
        <v>G Data</v>
      </c>
      <c r="B62" s="593">
        <f>'Total Price List'!B372</f>
        <v>22129</v>
      </c>
      <c r="C62" s="592"/>
      <c r="D62" s="592" t="str">
        <f>'Total Price List'!D372</f>
        <v>License GOV 2Y GD PM</v>
      </c>
      <c r="E62" s="592" t="str">
        <f>'Total Price List'!E372</f>
        <v>License GOV</v>
      </c>
      <c r="F62" s="593" t="str">
        <f>'Total Price List'!F372</f>
        <v>License</v>
      </c>
      <c r="G62" s="592" t="str">
        <f>'Total Price List'!G372</f>
        <v>G Data PatchMangement</v>
      </c>
      <c r="H62" s="592" t="str">
        <f>'Total Price List'!H372</f>
        <v>network license 2 years</v>
      </c>
      <c r="I62" s="598">
        <f>'Total Price List'!I372</f>
        <v>32</v>
      </c>
      <c r="J62" s="599">
        <f>'Total Price List'!J372</f>
        <v>32</v>
      </c>
    </row>
    <row r="63" spans="1:10" ht="12" customHeight="1" x14ac:dyDescent="0.25">
      <c r="A63" s="606" t="str">
        <f>'Total Price List'!A373</f>
        <v>G Data</v>
      </c>
      <c r="B63" s="593">
        <f>'Total Price List'!B373</f>
        <v>22139</v>
      </c>
      <c r="C63" s="592"/>
      <c r="D63" s="592" t="str">
        <f>'Total Price List'!D373</f>
        <v>License GOV 3Y GD PM</v>
      </c>
      <c r="E63" s="592" t="str">
        <f>'Total Price List'!E373</f>
        <v>License GOV</v>
      </c>
      <c r="F63" s="593" t="str">
        <f>'Total Price List'!F373</f>
        <v>License</v>
      </c>
      <c r="G63" s="592" t="str">
        <f>'Total Price List'!G373</f>
        <v>G Data PatchMangement</v>
      </c>
      <c r="H63" s="592" t="str">
        <f>'Total Price List'!H373</f>
        <v>network license 3 years</v>
      </c>
      <c r="I63" s="598">
        <f>'Total Price List'!I373</f>
        <v>48</v>
      </c>
      <c r="J63" s="599">
        <f>'Total Price List'!J373</f>
        <v>48</v>
      </c>
    </row>
    <row r="64" spans="1:10" ht="12" customHeight="1" x14ac:dyDescent="0.25">
      <c r="A64" s="606" t="str">
        <f>'Total Price List'!A374</f>
        <v>G Data</v>
      </c>
      <c r="B64" s="593">
        <f>'Total Price List'!B374</f>
        <v>20619</v>
      </c>
      <c r="C64" s="592"/>
      <c r="D64" s="592" t="str">
        <f>'Total Price List'!D374</f>
        <v>License GOV 1Y GD MS</v>
      </c>
      <c r="E64" s="592" t="str">
        <f>'Total Price List'!E374</f>
        <v>License GOV</v>
      </c>
      <c r="F64" s="593" t="str">
        <f>'Total Price List'!F374</f>
        <v>License</v>
      </c>
      <c r="G64" s="592" t="str">
        <f>'Total Price List'!G374</f>
        <v xml:space="preserve">G Data MailSecurity </v>
      </c>
      <c r="H64" s="592" t="str">
        <f>'Total Price List'!H374</f>
        <v>Mail gateway virus+anti spam license government 1 year</v>
      </c>
      <c r="I64" s="598">
        <f>'Total Price List'!I374</f>
        <v>10</v>
      </c>
      <c r="J64" s="599">
        <f>'Total Price List'!J374</f>
        <v>10</v>
      </c>
    </row>
    <row r="65" spans="1:10" ht="12" customHeight="1" x14ac:dyDescent="0.25">
      <c r="A65" s="606" t="str">
        <f>'Total Price List'!A375</f>
        <v>G Data</v>
      </c>
      <c r="B65" s="593">
        <f>'Total Price List'!B375</f>
        <v>20629</v>
      </c>
      <c r="C65" s="592"/>
      <c r="D65" s="592" t="str">
        <f>'Total Price List'!D375</f>
        <v>Licence GOV 2Y GD MS</v>
      </c>
      <c r="E65" s="592" t="str">
        <f>'Total Price List'!E375</f>
        <v>Licence GOV</v>
      </c>
      <c r="F65" s="593" t="str">
        <f>'Total Price List'!F375</f>
        <v>License</v>
      </c>
      <c r="G65" s="592" t="str">
        <f>'Total Price List'!G375</f>
        <v xml:space="preserve">G Data MailSecurity </v>
      </c>
      <c r="H65" s="592" t="str">
        <f>'Total Price List'!H375</f>
        <v>Mail gateway virus+anti spam license government 2 years</v>
      </c>
      <c r="I65" s="598">
        <f>'Total Price List'!I375</f>
        <v>16</v>
      </c>
      <c r="J65" s="599">
        <f>'Total Price List'!J375</f>
        <v>16</v>
      </c>
    </row>
    <row r="66" spans="1:10" ht="12" customHeight="1" x14ac:dyDescent="0.25">
      <c r="A66" s="606" t="str">
        <f>'Total Price List'!A376</f>
        <v>G Data</v>
      </c>
      <c r="B66" s="593">
        <f>'Total Price List'!B376</f>
        <v>20639</v>
      </c>
      <c r="C66" s="592"/>
      <c r="D66" s="592" t="str">
        <f>'Total Price List'!D376</f>
        <v>Licence GOV 2Y GD MS</v>
      </c>
      <c r="E66" s="592" t="str">
        <f>'Total Price List'!E376</f>
        <v>Licence GOV</v>
      </c>
      <c r="F66" s="593" t="str">
        <f>'Total Price List'!F376</f>
        <v>License</v>
      </c>
      <c r="G66" s="592" t="str">
        <f>'Total Price List'!G376</f>
        <v xml:space="preserve">G Data MailSecurity </v>
      </c>
      <c r="H66" s="592" t="str">
        <f>'Total Price List'!H376</f>
        <v>Mail gateway virus+anti spam license government 3 years</v>
      </c>
      <c r="I66" s="598">
        <f>'Total Price List'!I376</f>
        <v>20</v>
      </c>
      <c r="J66" s="599">
        <f>'Total Price List'!J376</f>
        <v>20</v>
      </c>
    </row>
    <row r="67" spans="1:10" ht="12" customHeight="1" x14ac:dyDescent="0.25">
      <c r="A67" s="606" t="str">
        <f>'Total Price List'!A377</f>
        <v>G Data</v>
      </c>
      <c r="B67" s="593">
        <f>'Total Price List'!B377</f>
        <v>20019</v>
      </c>
      <c r="C67" s="592"/>
      <c r="D67" s="592" t="str">
        <f>'Total Price List'!D377</f>
        <v>License GOV 1Y GD AV</v>
      </c>
      <c r="E67" s="592" t="str">
        <f>'Total Price List'!E377</f>
        <v>License GOV</v>
      </c>
      <c r="F67" s="593" t="str">
        <f>'Total Price List'!F377</f>
        <v>License</v>
      </c>
      <c r="G67" s="592" t="str">
        <f>'Total Price List'!G377</f>
        <v>G Data AntiVirus</v>
      </c>
      <c r="H67" s="592" t="str">
        <f>'Total Price List'!H377</f>
        <v>multi-user license 1 year</v>
      </c>
      <c r="I67" s="598">
        <f>'Total Price List'!I377</f>
        <v>10</v>
      </c>
      <c r="J67" s="599">
        <f>'Total Price List'!J377</f>
        <v>10</v>
      </c>
    </row>
    <row r="68" spans="1:10" ht="12" customHeight="1" x14ac:dyDescent="0.25">
      <c r="A68" s="606" t="str">
        <f>'Total Price List'!A378</f>
        <v>G Data</v>
      </c>
      <c r="B68" s="593">
        <f>'Total Price List'!B378</f>
        <v>20029</v>
      </c>
      <c r="C68" s="592"/>
      <c r="D68" s="592" t="str">
        <f>'Total Price List'!D378</f>
        <v>License GOV 2Y GD AV</v>
      </c>
      <c r="E68" s="592" t="str">
        <f>'Total Price List'!E378</f>
        <v>License GOV</v>
      </c>
      <c r="F68" s="593" t="str">
        <f>'Total Price List'!F378</f>
        <v>License</v>
      </c>
      <c r="G68" s="592" t="str">
        <f>'Total Price List'!G378</f>
        <v>G Data AntiVirus</v>
      </c>
      <c r="H68" s="592" t="str">
        <f>'Total Price List'!H378</f>
        <v>multi-user license 2 years</v>
      </c>
      <c r="I68" s="598">
        <f>'Total Price List'!I378</f>
        <v>16</v>
      </c>
      <c r="J68" s="599">
        <f>'Total Price List'!J378</f>
        <v>16</v>
      </c>
    </row>
    <row r="69" spans="1:10" ht="12" customHeight="1" x14ac:dyDescent="0.25">
      <c r="A69" s="606" t="str">
        <f>'Total Price List'!A379</f>
        <v>G Data</v>
      </c>
      <c r="B69" s="593">
        <f>'Total Price List'!B379</f>
        <v>20039</v>
      </c>
      <c r="C69" s="592"/>
      <c r="D69" s="592" t="str">
        <f>'Total Price List'!D379</f>
        <v>License GOV 3Y GD AV</v>
      </c>
      <c r="E69" s="592" t="str">
        <f>'Total Price List'!E379</f>
        <v>License GOV</v>
      </c>
      <c r="F69" s="593" t="str">
        <f>'Total Price List'!F379</f>
        <v>License</v>
      </c>
      <c r="G69" s="592" t="str">
        <f>'Total Price List'!G379</f>
        <v>G Data AntiVirus</v>
      </c>
      <c r="H69" s="592" t="str">
        <f>'Total Price List'!H379</f>
        <v>multi-user license 3 years</v>
      </c>
      <c r="I69" s="598">
        <f>'Total Price List'!I379</f>
        <v>20</v>
      </c>
      <c r="J69" s="599">
        <f>'Total Price List'!J379</f>
        <v>20</v>
      </c>
    </row>
    <row r="70" spans="1:10" ht="12" customHeight="1" x14ac:dyDescent="0.25">
      <c r="A70" s="606" t="str">
        <f>'Total Price List'!A380</f>
        <v>G Data</v>
      </c>
      <c r="B70" s="593">
        <f>'Total Price List'!B380</f>
        <v>20119</v>
      </c>
      <c r="C70" s="592"/>
      <c r="D70" s="592" t="str">
        <f>'Total Price List'!D380</f>
        <v>License GOV 1Y GD IS</v>
      </c>
      <c r="E70" s="592" t="str">
        <f>'Total Price List'!E380</f>
        <v>License GOV</v>
      </c>
      <c r="F70" s="593" t="str">
        <f>'Total Price List'!F380</f>
        <v>License</v>
      </c>
      <c r="G70" s="592" t="str">
        <f>'Total Price List'!G380</f>
        <v>G Data InternetSecurity</v>
      </c>
      <c r="H70" s="592" t="str">
        <f>'Total Price List'!H380</f>
        <v>multi-user license 1 year</v>
      </c>
      <c r="I70" s="598">
        <f>'Total Price List'!I380</f>
        <v>11</v>
      </c>
      <c r="J70" s="599">
        <f>'Total Price List'!J380</f>
        <v>11</v>
      </c>
    </row>
    <row r="71" spans="1:10" ht="12" customHeight="1" x14ac:dyDescent="0.25">
      <c r="A71" s="606" t="str">
        <f>'Total Price List'!A381</f>
        <v>G Data</v>
      </c>
      <c r="B71" s="593">
        <f>'Total Price List'!B381</f>
        <v>20129</v>
      </c>
      <c r="C71" s="592"/>
      <c r="D71" s="592" t="str">
        <f>'Total Price List'!D381</f>
        <v>License GOV 2Y GD IS</v>
      </c>
      <c r="E71" s="592" t="str">
        <f>'Total Price List'!E381</f>
        <v>License GOV</v>
      </c>
      <c r="F71" s="593" t="str">
        <f>'Total Price List'!F381</f>
        <v>License</v>
      </c>
      <c r="G71" s="592" t="str">
        <f>'Total Price List'!G381</f>
        <v>G Data InternetSecurity</v>
      </c>
      <c r="H71" s="592" t="str">
        <f>'Total Price List'!H381</f>
        <v>multi-user license 2 years</v>
      </c>
      <c r="I71" s="598">
        <f>'Total Price List'!I381</f>
        <v>18</v>
      </c>
      <c r="J71" s="599">
        <f>'Total Price List'!J381</f>
        <v>18</v>
      </c>
    </row>
    <row r="72" spans="1:10" ht="12" customHeight="1" x14ac:dyDescent="0.25">
      <c r="A72" s="606" t="str">
        <f>'Total Price List'!A382</f>
        <v>G Data</v>
      </c>
      <c r="B72" s="593">
        <f>'Total Price List'!B382</f>
        <v>20139</v>
      </c>
      <c r="C72" s="592"/>
      <c r="D72" s="592" t="str">
        <f>'Total Price List'!D382</f>
        <v>License GOV 3Y GD IS</v>
      </c>
      <c r="E72" s="592" t="str">
        <f>'Total Price List'!E382</f>
        <v>License GOV</v>
      </c>
      <c r="F72" s="593" t="str">
        <f>'Total Price List'!F382</f>
        <v>License</v>
      </c>
      <c r="G72" s="592" t="str">
        <f>'Total Price List'!G382</f>
        <v>G Data InternetSecurity</v>
      </c>
      <c r="H72" s="592" t="str">
        <f>'Total Price List'!H382</f>
        <v>multi-user license 3 years</v>
      </c>
      <c r="I72" s="598">
        <f>'Total Price List'!I382</f>
        <v>25</v>
      </c>
      <c r="J72" s="599">
        <f>'Total Price List'!J382</f>
        <v>25</v>
      </c>
    </row>
    <row r="73" spans="1:10" ht="12" customHeight="1" x14ac:dyDescent="0.25">
      <c r="A73" s="606" t="str">
        <f>'Total Price List'!A383</f>
        <v>G Data</v>
      </c>
      <c r="B73" s="593">
        <f>'Total Price List'!B383</f>
        <v>21719</v>
      </c>
      <c r="C73" s="592"/>
      <c r="D73" s="592" t="str">
        <f>'Total Price List'!D383</f>
        <v>License GOV 1Y GD TP</v>
      </c>
      <c r="E73" s="592" t="str">
        <f>'Total Price List'!E383</f>
        <v>License GOV</v>
      </c>
      <c r="F73" s="593" t="str">
        <f>'Total Price List'!F383</f>
        <v>License</v>
      </c>
      <c r="G73" s="592" t="str">
        <f>'Total Price List'!G383</f>
        <v>G Data TotalProtection</v>
      </c>
      <c r="H73" s="592" t="str">
        <f>'Total Price List'!H383</f>
        <v>multi-user license 1 year</v>
      </c>
      <c r="I73" s="598">
        <f>'Total Price List'!I383</f>
        <v>12</v>
      </c>
      <c r="J73" s="599">
        <f>'Total Price List'!J383</f>
        <v>12</v>
      </c>
    </row>
    <row r="74" spans="1:10" ht="12" customHeight="1" x14ac:dyDescent="0.25">
      <c r="A74" s="606" t="str">
        <f>'Total Price List'!A384</f>
        <v>G Data</v>
      </c>
      <c r="B74" s="593">
        <f>'Total Price List'!B384</f>
        <v>21729</v>
      </c>
      <c r="C74" s="592"/>
      <c r="D74" s="592" t="str">
        <f>'Total Price List'!D384</f>
        <v>License GOV 2Y GD TP</v>
      </c>
      <c r="E74" s="592" t="str">
        <f>'Total Price List'!E384</f>
        <v>License GOV</v>
      </c>
      <c r="F74" s="593" t="str">
        <f>'Total Price List'!F384</f>
        <v>License</v>
      </c>
      <c r="G74" s="592" t="str">
        <f>'Total Price List'!G384</f>
        <v>G Data TotalProtection</v>
      </c>
      <c r="H74" s="592" t="str">
        <f>'Total Price List'!H384</f>
        <v>multi-user license 2 years</v>
      </c>
      <c r="I74" s="598">
        <f>'Total Price List'!I384</f>
        <v>20</v>
      </c>
      <c r="J74" s="599">
        <f>'Total Price List'!J384</f>
        <v>20</v>
      </c>
    </row>
    <row r="75" spans="1:10" ht="12" customHeight="1" thickBot="1" x14ac:dyDescent="0.3">
      <c r="A75" s="606" t="str">
        <f>'Total Price List'!A385</f>
        <v>G Data</v>
      </c>
      <c r="B75" s="593">
        <f>'Total Price List'!B385</f>
        <v>21739</v>
      </c>
      <c r="C75" s="592"/>
      <c r="D75" s="592" t="str">
        <f>'Total Price List'!D385</f>
        <v>License GOV 3Y GD TP</v>
      </c>
      <c r="E75" s="592" t="str">
        <f>'Total Price List'!E385</f>
        <v>License GOV</v>
      </c>
      <c r="F75" s="593" t="str">
        <f>'Total Price List'!F385</f>
        <v>License</v>
      </c>
      <c r="G75" s="592" t="str">
        <f>'Total Price List'!G385</f>
        <v>G Data TotalProtection</v>
      </c>
      <c r="H75" s="592" t="str">
        <f>'Total Price List'!H385</f>
        <v>multi-user license 3 years</v>
      </c>
      <c r="I75" s="598">
        <f>'Total Price List'!I385</f>
        <v>28</v>
      </c>
      <c r="J75" s="599">
        <f>'Total Price List'!J385</f>
        <v>28</v>
      </c>
    </row>
    <row r="76" spans="1:10" s="591" customFormat="1" ht="12" customHeight="1" x14ac:dyDescent="0.25">
      <c r="A76" s="628" t="str">
        <f>'Total Price List'!A386</f>
        <v>G Data GOV network license renewal</v>
      </c>
      <c r="B76" s="629"/>
      <c r="C76" s="629"/>
      <c r="D76" s="629"/>
      <c r="E76" s="629"/>
      <c r="F76" s="629"/>
      <c r="G76" s="629"/>
      <c r="H76" s="629"/>
      <c r="I76" s="629"/>
      <c r="J76" s="630"/>
    </row>
    <row r="77" spans="1:10" s="112" customFormat="1" ht="12" customHeight="1" x14ac:dyDescent="0.25">
      <c r="A77" s="626" t="str">
        <f>'Total Price List'!A387</f>
        <v>G Data</v>
      </c>
      <c r="B77" s="619">
        <f>'Total Price List'!B387</f>
        <v>20269</v>
      </c>
      <c r="C77" s="618"/>
      <c r="D77" s="618" t="str">
        <f>'Total Price List'!D387</f>
        <v>Renewal GOV 1Y GD AV BUS</v>
      </c>
      <c r="E77" s="618" t="str">
        <f>'Total Price List'!E387</f>
        <v>Renewal GOV</v>
      </c>
      <c r="F77" s="619" t="str">
        <f>'Total Price List'!F387</f>
        <v>Renewal</v>
      </c>
      <c r="G77" s="618" t="str">
        <f>'Total Price List'!G387</f>
        <v xml:space="preserve">G Data AntiVirus Business </v>
      </c>
      <c r="H77" s="618" t="str">
        <f>'Total Price List'!H387</f>
        <v>network license renewa government 1 year</v>
      </c>
      <c r="I77" s="624">
        <f>'Total Price List'!I387</f>
        <v>6</v>
      </c>
      <c r="J77" s="622">
        <f>'Total Price List'!J387</f>
        <v>6</v>
      </c>
    </row>
    <row r="78" spans="1:10" s="112" customFormat="1" ht="12" customHeight="1" x14ac:dyDescent="0.25">
      <c r="A78" s="626" t="str">
        <f>'Total Price List'!A388</f>
        <v>G Data</v>
      </c>
      <c r="B78" s="619">
        <f>'Total Price List'!B388</f>
        <v>20279</v>
      </c>
      <c r="C78" s="618"/>
      <c r="D78" s="618" t="str">
        <f>'Total Price List'!D388</f>
        <v>Renewal GOV 2Y AV BUS</v>
      </c>
      <c r="E78" s="618" t="str">
        <f>'Total Price List'!E388</f>
        <v>Renewal GOV</v>
      </c>
      <c r="F78" s="619" t="str">
        <f>'Total Price List'!F388</f>
        <v>Renewal</v>
      </c>
      <c r="G78" s="618" t="str">
        <f>'Total Price List'!G388</f>
        <v xml:space="preserve">G Data AntiVirus Business </v>
      </c>
      <c r="H78" s="618" t="str">
        <f>'Total Price List'!H388</f>
        <v>network license renewa government 2 years</v>
      </c>
      <c r="I78" s="624">
        <f>'Total Price List'!I388</f>
        <v>10.5</v>
      </c>
      <c r="J78" s="622">
        <f>'Total Price List'!J388</f>
        <v>10.5</v>
      </c>
    </row>
    <row r="79" spans="1:10" s="112" customFormat="1" ht="12" customHeight="1" x14ac:dyDescent="0.25">
      <c r="A79" s="626" t="str">
        <f>'Total Price List'!A389</f>
        <v>G Data</v>
      </c>
      <c r="B79" s="619">
        <f>'Total Price List'!B389</f>
        <v>20289</v>
      </c>
      <c r="C79" s="618"/>
      <c r="D79" s="618" t="str">
        <f>'Total Price List'!D389</f>
        <v>Renewal GOV 3Y AV BUS</v>
      </c>
      <c r="E79" s="618" t="str">
        <f>'Total Price List'!E389</f>
        <v>Renewal GOV</v>
      </c>
      <c r="F79" s="619" t="str">
        <f>'Total Price List'!F389</f>
        <v>Renewal</v>
      </c>
      <c r="G79" s="618" t="str">
        <f>'Total Price List'!G389</f>
        <v xml:space="preserve">G Data AntiVirus Business </v>
      </c>
      <c r="H79" s="618" t="str">
        <f>'Total Price List'!H389</f>
        <v>network license renewa government 3 years</v>
      </c>
      <c r="I79" s="624">
        <f>'Total Price List'!I389</f>
        <v>15</v>
      </c>
      <c r="J79" s="622">
        <f>'Total Price List'!J389</f>
        <v>15</v>
      </c>
    </row>
    <row r="80" spans="1:10" s="112" customFormat="1" ht="12" customHeight="1" x14ac:dyDescent="0.25">
      <c r="A80" s="626" t="str">
        <f>'Total Price List'!A390</f>
        <v>G Data</v>
      </c>
      <c r="B80" s="619">
        <f>'Total Price List'!B390</f>
        <v>20369</v>
      </c>
      <c r="C80" s="618"/>
      <c r="D80" s="618" t="str">
        <f>'Total Price List'!D390</f>
        <v>Renewal GOV 1Y GD AV ENT</v>
      </c>
      <c r="E80" s="618" t="str">
        <f>'Total Price List'!E390</f>
        <v>Renewal GOV</v>
      </c>
      <c r="F80" s="619" t="str">
        <f>'Total Price List'!F390</f>
        <v>Renewal</v>
      </c>
      <c r="G80" s="618" t="str">
        <f>'Total Price List'!G390</f>
        <v>G Data AntiVirus + MailSecurity + Backup</v>
      </c>
      <c r="H80" s="618" t="str">
        <f>'Total Price List'!H390</f>
        <v>network license renewa government 1 year</v>
      </c>
      <c r="I80" s="624">
        <f>'Total Price List'!I390</f>
        <v>10</v>
      </c>
      <c r="J80" s="622">
        <f>'Total Price List'!J390</f>
        <v>10</v>
      </c>
    </row>
    <row r="81" spans="1:11" s="112" customFormat="1" ht="12" customHeight="1" x14ac:dyDescent="0.25">
      <c r="A81" s="626" t="str">
        <f>'Total Price List'!A391</f>
        <v>G Data</v>
      </c>
      <c r="B81" s="619">
        <f>'Total Price List'!B391</f>
        <v>20379</v>
      </c>
      <c r="C81" s="618"/>
      <c r="D81" s="618" t="str">
        <f>'Total Price List'!D391</f>
        <v>Renewal GOV 2Y GD AV ENT</v>
      </c>
      <c r="E81" s="618" t="str">
        <f>'Total Price List'!E391</f>
        <v>Renewal GOV</v>
      </c>
      <c r="F81" s="619" t="str">
        <f>'Total Price List'!F391</f>
        <v>Renewal</v>
      </c>
      <c r="G81" s="618" t="str">
        <f>'Total Price List'!G391</f>
        <v>G Data AntiVirus + MailSecurity + Backup</v>
      </c>
      <c r="H81" s="618" t="str">
        <f>'Total Price List'!H391</f>
        <v>network license renewa government 2 years</v>
      </c>
      <c r="I81" s="624">
        <f>'Total Price List'!I391</f>
        <v>17.5</v>
      </c>
      <c r="J81" s="622">
        <f>'Total Price List'!J391</f>
        <v>17.5</v>
      </c>
    </row>
    <row r="82" spans="1:11" s="112" customFormat="1" ht="12" customHeight="1" x14ac:dyDescent="0.25">
      <c r="A82" s="626" t="str">
        <f>'Total Price List'!A392</f>
        <v>G Data</v>
      </c>
      <c r="B82" s="619">
        <f>'Total Price List'!B392</f>
        <v>20389</v>
      </c>
      <c r="C82" s="618"/>
      <c r="D82" s="618" t="str">
        <f>'Total Price List'!D392</f>
        <v>Renewal GOV 3Y GD AV ENT</v>
      </c>
      <c r="E82" s="618" t="str">
        <f>'Total Price List'!E392</f>
        <v>Renewal GOV</v>
      </c>
      <c r="F82" s="619" t="str">
        <f>'Total Price List'!F392</f>
        <v>Renewal</v>
      </c>
      <c r="G82" s="618" t="str">
        <f>'Total Price List'!G392</f>
        <v>G Data AntiVirus + MailSecurity + Backup</v>
      </c>
      <c r="H82" s="618" t="str">
        <f>'Total Price List'!H392</f>
        <v>network license renewa government 3 years</v>
      </c>
      <c r="I82" s="624">
        <f>'Total Price List'!I392</f>
        <v>25</v>
      </c>
      <c r="J82" s="622">
        <f>'Total Price List'!J392</f>
        <v>25</v>
      </c>
    </row>
    <row r="83" spans="1:11" s="112" customFormat="1" ht="12" customHeight="1" x14ac:dyDescent="0.25">
      <c r="A83" s="626" t="str">
        <f>'Total Price List'!A393</f>
        <v>G Data</v>
      </c>
      <c r="B83" s="619">
        <f>'Total Price List'!B393</f>
        <v>20469</v>
      </c>
      <c r="C83" s="618"/>
      <c r="D83" s="618" t="str">
        <f>'Total Price List'!D393</f>
        <v>Renewal GOV 1Y GD CS BUS</v>
      </c>
      <c r="E83" s="618" t="str">
        <f>'Total Price List'!E393</f>
        <v>Renewal GOV</v>
      </c>
      <c r="F83" s="619" t="str">
        <f>'Total Price List'!F393</f>
        <v>Renewal</v>
      </c>
      <c r="G83" s="618" t="str">
        <f>'Total Price List'!G393</f>
        <v>G Data ClientSecurity Business</v>
      </c>
      <c r="H83" s="618" t="str">
        <f>'Total Price List'!H393</f>
        <v>network license renewa government 1 year</v>
      </c>
      <c r="I83" s="624">
        <f>'Total Price List'!I393</f>
        <v>10</v>
      </c>
      <c r="J83" s="622">
        <f>'Total Price List'!J393</f>
        <v>10</v>
      </c>
    </row>
    <row r="84" spans="1:11" s="112" customFormat="1" ht="12" customHeight="1" x14ac:dyDescent="0.25">
      <c r="A84" s="626" t="str">
        <f>'Total Price List'!A394</f>
        <v>G Data</v>
      </c>
      <c r="B84" s="619">
        <f>'Total Price List'!B394</f>
        <v>20479</v>
      </c>
      <c r="C84" s="618"/>
      <c r="D84" s="618" t="str">
        <f>'Total Price List'!D394</f>
        <v>Renewal GOV 2Y GD CS BUS</v>
      </c>
      <c r="E84" s="618" t="str">
        <f>'Total Price List'!E394</f>
        <v>Renewal GOV</v>
      </c>
      <c r="F84" s="619" t="str">
        <f>'Total Price List'!F394</f>
        <v>Renewal</v>
      </c>
      <c r="G84" s="618" t="str">
        <f>'Total Price List'!G394</f>
        <v>G Data ClientSecurity Business</v>
      </c>
      <c r="H84" s="618" t="str">
        <f>'Total Price List'!H394</f>
        <v>network license renewa government 2 years</v>
      </c>
      <c r="I84" s="624">
        <f>'Total Price List'!I394</f>
        <v>17.5</v>
      </c>
      <c r="J84" s="622">
        <f>'Total Price List'!J394</f>
        <v>17.5</v>
      </c>
    </row>
    <row r="85" spans="1:11" s="112" customFormat="1" ht="12" customHeight="1" x14ac:dyDescent="0.25">
      <c r="A85" s="626" t="str">
        <f>'Total Price List'!A395</f>
        <v>G Data</v>
      </c>
      <c r="B85" s="619">
        <f>'Total Price List'!B395</f>
        <v>20489</v>
      </c>
      <c r="C85" s="618"/>
      <c r="D85" s="618" t="str">
        <f>'Total Price List'!D395</f>
        <v>Renewal GOV 3Y GD CS BUS</v>
      </c>
      <c r="E85" s="618" t="str">
        <f>'Total Price List'!E395</f>
        <v>Renewal GOV</v>
      </c>
      <c r="F85" s="619" t="str">
        <f>'Total Price List'!F395</f>
        <v>Renewal</v>
      </c>
      <c r="G85" s="618" t="str">
        <f>'Total Price List'!G395</f>
        <v>G Data ClientSecurity Business</v>
      </c>
      <c r="H85" s="618" t="str">
        <f>'Total Price List'!H395</f>
        <v>network license renewa government 3 years</v>
      </c>
      <c r="I85" s="624">
        <f>'Total Price List'!I395</f>
        <v>25</v>
      </c>
      <c r="J85" s="622">
        <f>'Total Price List'!J395</f>
        <v>25</v>
      </c>
    </row>
    <row r="86" spans="1:11" s="112" customFormat="1" ht="12" customHeight="1" x14ac:dyDescent="0.25">
      <c r="A86" s="626" t="str">
        <f>'Total Price List'!A396</f>
        <v>G Data</v>
      </c>
      <c r="B86" s="619">
        <f>'Total Price List'!B396</f>
        <v>20569</v>
      </c>
      <c r="C86" s="618"/>
      <c r="D86" s="618" t="str">
        <f>'Total Price List'!D396</f>
        <v>Renewal GOV 1Y GD CS ENT</v>
      </c>
      <c r="E86" s="618" t="str">
        <f>'Total Price List'!E396</f>
        <v>Renewal GOV</v>
      </c>
      <c r="F86" s="619" t="str">
        <f>'Total Price List'!F396</f>
        <v>Renewal</v>
      </c>
      <c r="G86" s="618" t="str">
        <f>'Total Price List'!G396</f>
        <v>G Data ClientSecurity + MailSecurity + Backup</v>
      </c>
      <c r="H86" s="618" t="str">
        <f>'Total Price List'!H396</f>
        <v>network license renewa government 1 year</v>
      </c>
      <c r="I86" s="624">
        <f>'Total Price List'!I396</f>
        <v>12</v>
      </c>
      <c r="J86" s="622">
        <f>'Total Price List'!J396</f>
        <v>12</v>
      </c>
    </row>
    <row r="87" spans="1:11" s="112" customFormat="1" ht="12" customHeight="1" x14ac:dyDescent="0.25">
      <c r="A87" s="626" t="str">
        <f>'Total Price List'!A397</f>
        <v>G Data</v>
      </c>
      <c r="B87" s="619">
        <f>'Total Price List'!B397</f>
        <v>20579</v>
      </c>
      <c r="C87" s="618"/>
      <c r="D87" s="618" t="str">
        <f>'Total Price List'!D397</f>
        <v>Renewal GOV 2Y GD CS ENT</v>
      </c>
      <c r="E87" s="618" t="str">
        <f>'Total Price List'!E397</f>
        <v>Renewal GOV</v>
      </c>
      <c r="F87" s="619" t="str">
        <f>'Total Price List'!F397</f>
        <v>Renewal</v>
      </c>
      <c r="G87" s="618" t="str">
        <f>'Total Price List'!G397</f>
        <v>G Data ClientSecurity + MailSecurity + Backup</v>
      </c>
      <c r="H87" s="618" t="str">
        <f>'Total Price List'!H397</f>
        <v>network license renewa government 2 years</v>
      </c>
      <c r="I87" s="624">
        <f>'Total Price List'!I397</f>
        <v>21</v>
      </c>
      <c r="J87" s="622">
        <f>'Total Price List'!J397</f>
        <v>21</v>
      </c>
    </row>
    <row r="88" spans="1:11" s="112" customFormat="1" ht="12" customHeight="1" x14ac:dyDescent="0.25">
      <c r="A88" s="626" t="str">
        <f>'Total Price List'!A398</f>
        <v>G Data</v>
      </c>
      <c r="B88" s="619">
        <f>'Total Price List'!B398</f>
        <v>20589</v>
      </c>
      <c r="C88" s="618"/>
      <c r="D88" s="618" t="str">
        <f>'Total Price List'!D398</f>
        <v>Renewal GOV 3Y GD CS ENT</v>
      </c>
      <c r="E88" s="618" t="str">
        <f>'Total Price List'!E398</f>
        <v>Renewal GOV</v>
      </c>
      <c r="F88" s="619" t="str">
        <f>'Total Price List'!F398</f>
        <v>Renewal</v>
      </c>
      <c r="G88" s="618" t="str">
        <f>'Total Price List'!G398</f>
        <v>G Data ClientSecurity + MailSecurity + Backup</v>
      </c>
      <c r="H88" s="618" t="str">
        <f>'Total Price List'!H398</f>
        <v>network license renewa government 3 years</v>
      </c>
      <c r="I88" s="624">
        <f>'Total Price List'!I398</f>
        <v>30</v>
      </c>
      <c r="J88" s="622">
        <f>'Total Price List'!J398</f>
        <v>30</v>
      </c>
    </row>
    <row r="89" spans="1:11" ht="12" customHeight="1" x14ac:dyDescent="0.25">
      <c r="A89" s="626" t="str">
        <f>'Total Price List'!A399</f>
        <v>G Data</v>
      </c>
      <c r="B89" s="619">
        <f>'Total Price List'!B399</f>
        <v>20969</v>
      </c>
      <c r="C89" s="618"/>
      <c r="D89" s="618" t="str">
        <f>'Total Price List'!D399</f>
        <v>Renewal GOV 1Y GD EP BUS</v>
      </c>
      <c r="E89" s="618" t="str">
        <f>'Total Price List'!E399</f>
        <v>Renewal GOV</v>
      </c>
      <c r="F89" s="619" t="str">
        <f>'Total Price List'!F399</f>
        <v>Renewal</v>
      </c>
      <c r="G89" s="618" t="str">
        <f>'Total Price List'!G399</f>
        <v>G Data EndpointProtection Business</v>
      </c>
      <c r="H89" s="618" t="str">
        <f>'Total Price List'!H399</f>
        <v>network license renewa government 1 year</v>
      </c>
      <c r="I89" s="624">
        <f>'Total Price List'!I399</f>
        <v>12</v>
      </c>
      <c r="J89" s="622">
        <f>'Total Price List'!J399</f>
        <v>12</v>
      </c>
      <c r="K89" s="68"/>
    </row>
    <row r="90" spans="1:11" ht="12" customHeight="1" x14ac:dyDescent="0.25">
      <c r="A90" s="626" t="str">
        <f>'Total Price List'!A400</f>
        <v>G Data</v>
      </c>
      <c r="B90" s="619">
        <f>'Total Price List'!B400</f>
        <v>20979</v>
      </c>
      <c r="C90" s="618"/>
      <c r="D90" s="618" t="str">
        <f>'Total Price List'!D400</f>
        <v>Renewal GOV 2Y GD EP BUS</v>
      </c>
      <c r="E90" s="618" t="str">
        <f>'Total Price List'!E400</f>
        <v>Renewal GOV</v>
      </c>
      <c r="F90" s="619" t="str">
        <f>'Total Price List'!F400</f>
        <v>Renewal</v>
      </c>
      <c r="G90" s="618" t="str">
        <f>'Total Price List'!G400</f>
        <v>G Data EndpointProtection Business</v>
      </c>
      <c r="H90" s="618" t="str">
        <f>'Total Price List'!H400</f>
        <v>network license renewa government 2 years</v>
      </c>
      <c r="I90" s="624">
        <f>'Total Price List'!I400</f>
        <v>21</v>
      </c>
      <c r="J90" s="622">
        <f>'Total Price List'!J400</f>
        <v>21</v>
      </c>
    </row>
    <row r="91" spans="1:11" ht="12" customHeight="1" x14ac:dyDescent="0.25">
      <c r="A91" s="626" t="str">
        <f>'Total Price List'!A401</f>
        <v>G Data</v>
      </c>
      <c r="B91" s="619">
        <f>'Total Price List'!B401</f>
        <v>20989</v>
      </c>
      <c r="C91" s="618"/>
      <c r="D91" s="618" t="str">
        <f>'Total Price List'!D401</f>
        <v>Renewal GOV 3Y GD EP BUS</v>
      </c>
      <c r="E91" s="618" t="str">
        <f>'Total Price List'!E401</f>
        <v>Renewal GOV</v>
      </c>
      <c r="F91" s="619" t="str">
        <f>'Total Price List'!F401</f>
        <v>Renewal</v>
      </c>
      <c r="G91" s="618" t="str">
        <f>'Total Price List'!G401</f>
        <v>G Data EndpointProtection Business</v>
      </c>
      <c r="H91" s="618" t="str">
        <f>'Total Price List'!H401</f>
        <v>network license renewa government 3 years</v>
      </c>
      <c r="I91" s="624">
        <f>'Total Price List'!I401</f>
        <v>30</v>
      </c>
      <c r="J91" s="622">
        <f>'Total Price List'!J401</f>
        <v>30</v>
      </c>
    </row>
    <row r="92" spans="1:11" ht="12" customHeight="1" x14ac:dyDescent="0.25">
      <c r="A92" s="626" t="str">
        <f>'Total Price List'!A402</f>
        <v>G Data</v>
      </c>
      <c r="B92" s="619">
        <f>'Total Price List'!B402</f>
        <v>21069</v>
      </c>
      <c r="C92" s="618"/>
      <c r="D92" s="618" t="str">
        <f>'Total Price List'!D402</f>
        <v>Renewal GOV 1Y GD EP ENT</v>
      </c>
      <c r="E92" s="618" t="str">
        <f>'Total Price List'!E402</f>
        <v>Renewal GOV</v>
      </c>
      <c r="F92" s="619" t="str">
        <f>'Total Price List'!F402</f>
        <v>Renewal</v>
      </c>
      <c r="G92" s="618" t="str">
        <f>'Total Price List'!G402</f>
        <v>G Data EndpointProtection + MailSecurity + Backup</v>
      </c>
      <c r="H92" s="618" t="str">
        <f>'Total Price List'!H402</f>
        <v>network license renewa government 1 year</v>
      </c>
      <c r="I92" s="624">
        <f>'Total Price List'!I402</f>
        <v>13</v>
      </c>
      <c r="J92" s="622">
        <f>'Total Price List'!J402</f>
        <v>13</v>
      </c>
    </row>
    <row r="93" spans="1:11" ht="12" customHeight="1" x14ac:dyDescent="0.25">
      <c r="A93" s="626" t="str">
        <f>'Total Price List'!A403</f>
        <v>G Data</v>
      </c>
      <c r="B93" s="619">
        <f>'Total Price List'!B403</f>
        <v>21079</v>
      </c>
      <c r="C93" s="618"/>
      <c r="D93" s="618" t="str">
        <f>'Total Price List'!D403</f>
        <v>Renewal GOV 2Y GD EP ENT</v>
      </c>
      <c r="E93" s="618" t="str">
        <f>'Total Price List'!E403</f>
        <v>Renewal GOV</v>
      </c>
      <c r="F93" s="619" t="str">
        <f>'Total Price List'!F403</f>
        <v>Renewal</v>
      </c>
      <c r="G93" s="618" t="str">
        <f>'Total Price List'!G403</f>
        <v>G Data EndpointProtection + MailSecurity + Backup</v>
      </c>
      <c r="H93" s="618" t="str">
        <f>'Total Price List'!H403</f>
        <v>network license renewa government 2 years</v>
      </c>
      <c r="I93" s="624">
        <f>'Total Price List'!I403</f>
        <v>22</v>
      </c>
      <c r="J93" s="622">
        <f>'Total Price List'!J403</f>
        <v>22</v>
      </c>
    </row>
    <row r="94" spans="1:11" ht="12" customHeight="1" x14ac:dyDescent="0.25">
      <c r="A94" s="626" t="str">
        <f>'Total Price List'!A404</f>
        <v>G Data</v>
      </c>
      <c r="B94" s="619">
        <f>'Total Price List'!B404</f>
        <v>21089</v>
      </c>
      <c r="C94" s="618"/>
      <c r="D94" s="618" t="str">
        <f>'Total Price List'!D404</f>
        <v>Renewal GOV 3Y GD EP ENT</v>
      </c>
      <c r="E94" s="618" t="str">
        <f>'Total Price List'!E404</f>
        <v>Renewal GOV</v>
      </c>
      <c r="F94" s="619" t="str">
        <f>'Total Price List'!F404</f>
        <v>Renewal</v>
      </c>
      <c r="G94" s="618" t="str">
        <f>'Total Price List'!G404</f>
        <v>G Data EndpointProtection + MailSecurity + Backup</v>
      </c>
      <c r="H94" s="618" t="str">
        <f>'Total Price List'!H404</f>
        <v>network license renewa government 3 years</v>
      </c>
      <c r="I94" s="624">
        <f>'Total Price List'!I404</f>
        <v>33</v>
      </c>
      <c r="J94" s="622">
        <f>'Total Price List'!J404</f>
        <v>33</v>
      </c>
    </row>
    <row r="95" spans="1:11" ht="12" customHeight="1" x14ac:dyDescent="0.25">
      <c r="A95" s="626" t="str">
        <f>'Total Price List'!A405</f>
        <v>G Data</v>
      </c>
      <c r="B95" s="619">
        <f>'Total Price List'!B405</f>
        <v>22169</v>
      </c>
      <c r="C95" s="618"/>
      <c r="D95" s="618" t="str">
        <f>'Total Price List'!D405</f>
        <v>Renewal GOV 1Y GD PM</v>
      </c>
      <c r="E95" s="618" t="str">
        <f>'Total Price List'!E405</f>
        <v>Renewal GOV</v>
      </c>
      <c r="F95" s="619" t="str">
        <f>'Total Price List'!F405</f>
        <v>License</v>
      </c>
      <c r="G95" s="618" t="str">
        <f>'Total Price List'!G405</f>
        <v>G Data PatchMangement</v>
      </c>
      <c r="H95" s="618" t="str">
        <f>'Total Price List'!H405</f>
        <v>network license renewal 1 year</v>
      </c>
      <c r="I95" s="624">
        <f>'Total Price List'!I405</f>
        <v>16</v>
      </c>
      <c r="J95" s="622">
        <f>'Total Price List'!J405</f>
        <v>16</v>
      </c>
    </row>
    <row r="96" spans="1:11" ht="12" customHeight="1" x14ac:dyDescent="0.25">
      <c r="A96" s="626" t="str">
        <f>'Total Price List'!A406</f>
        <v>G Data</v>
      </c>
      <c r="B96" s="619">
        <f>'Total Price List'!B406</f>
        <v>22179</v>
      </c>
      <c r="C96" s="618"/>
      <c r="D96" s="618" t="str">
        <f>'Total Price List'!D406</f>
        <v>Renewal GOV 2Y GD PM</v>
      </c>
      <c r="E96" s="618" t="str">
        <f>'Total Price List'!E406</f>
        <v>Renewal GOV</v>
      </c>
      <c r="F96" s="619" t="str">
        <f>'Total Price List'!F406</f>
        <v>License</v>
      </c>
      <c r="G96" s="618" t="str">
        <f>'Total Price List'!G406</f>
        <v>G Data PatchMangement</v>
      </c>
      <c r="H96" s="618" t="str">
        <f>'Total Price List'!H406</f>
        <v>network license renewal 2 years</v>
      </c>
      <c r="I96" s="624">
        <f>'Total Price List'!I406</f>
        <v>32</v>
      </c>
      <c r="J96" s="622">
        <f>'Total Price List'!J406</f>
        <v>32</v>
      </c>
    </row>
    <row r="97" spans="1:10" s="851" customFormat="1" ht="12" customHeight="1" x14ac:dyDescent="0.25">
      <c r="A97" s="626" t="str">
        <f>'Total Price List'!A407</f>
        <v>G Data</v>
      </c>
      <c r="B97" s="619">
        <f>'Total Price List'!B407</f>
        <v>22189</v>
      </c>
      <c r="C97" s="618"/>
      <c r="D97" s="618" t="str">
        <f>'Total Price List'!D407</f>
        <v>Renewal GOV 3Y GD PM</v>
      </c>
      <c r="E97" s="618" t="str">
        <f>'Total Price List'!E407</f>
        <v>Renewal GOV</v>
      </c>
      <c r="F97" s="619" t="str">
        <f>'Total Price List'!F407</f>
        <v>License</v>
      </c>
      <c r="G97" s="618" t="str">
        <f>'Total Price List'!G407</f>
        <v>G Data PatchMangement</v>
      </c>
      <c r="H97" s="618" t="str">
        <f>'Total Price List'!H407</f>
        <v>network license renewal 3 years</v>
      </c>
      <c r="I97" s="624">
        <f>'Total Price List'!I407</f>
        <v>48</v>
      </c>
      <c r="J97" s="622">
        <f>'Total Price List'!J407</f>
        <v>48</v>
      </c>
    </row>
    <row r="98" spans="1:10" ht="12" customHeight="1" x14ac:dyDescent="0.25">
      <c r="A98" s="626" t="str">
        <f>'Total Price List'!A408</f>
        <v>G Data</v>
      </c>
      <c r="B98" s="619">
        <f>'Total Price List'!B408</f>
        <v>20669</v>
      </c>
      <c r="C98" s="618"/>
      <c r="D98" s="618" t="str">
        <f>'Total Price List'!D408</f>
        <v>Renewal GOV 1Y GD MS</v>
      </c>
      <c r="E98" s="618" t="str">
        <f>'Total Price List'!E408</f>
        <v>Renewal GOV</v>
      </c>
      <c r="F98" s="619" t="str">
        <f>'Total Price List'!F408</f>
        <v>Renewal</v>
      </c>
      <c r="G98" s="618" t="str">
        <f>'Total Price List'!G408</f>
        <v xml:space="preserve">G Data MailSecurity </v>
      </c>
      <c r="H98" s="618" t="str">
        <f>'Total Price List'!H408</f>
        <v>Mail gateway license renewal government 1 year</v>
      </c>
      <c r="I98" s="624">
        <f>'Total Price List'!I408</f>
        <v>5</v>
      </c>
      <c r="J98" s="622">
        <f>'Total Price List'!J408</f>
        <v>5</v>
      </c>
    </row>
    <row r="99" spans="1:10" ht="12" customHeight="1" x14ac:dyDescent="0.25">
      <c r="A99" s="626" t="str">
        <f>'Total Price List'!A409</f>
        <v>G Data</v>
      </c>
      <c r="B99" s="619">
        <f>'Total Price List'!B409</f>
        <v>20679</v>
      </c>
      <c r="C99" s="618"/>
      <c r="D99" s="618" t="str">
        <f>'Total Price List'!D409</f>
        <v>Renewal GOV 2Y GD MS</v>
      </c>
      <c r="E99" s="618" t="str">
        <f>'Total Price List'!E409</f>
        <v>Renewal GOV</v>
      </c>
      <c r="F99" s="619" t="str">
        <f>'Total Price List'!F409</f>
        <v>Renewal</v>
      </c>
      <c r="G99" s="618" t="str">
        <f>'Total Price List'!G409</f>
        <v xml:space="preserve">G Data MailSecurity </v>
      </c>
      <c r="H99" s="618" t="str">
        <f>'Total Price List'!H409</f>
        <v>Mail gateway license renewal government 2 years</v>
      </c>
      <c r="I99" s="624">
        <f>'Total Price List'!I409</f>
        <v>8.75</v>
      </c>
      <c r="J99" s="622">
        <f>'Total Price List'!J409</f>
        <v>8.75</v>
      </c>
    </row>
    <row r="100" spans="1:10" ht="12" customHeight="1" x14ac:dyDescent="0.25">
      <c r="A100" s="626" t="str">
        <f>'Total Price List'!A410</f>
        <v>G Data</v>
      </c>
      <c r="B100" s="619">
        <f>'Total Price List'!B410</f>
        <v>20689</v>
      </c>
      <c r="C100" s="618"/>
      <c r="D100" s="618" t="str">
        <f>'Total Price List'!D410</f>
        <v>Renewal GOV 3Y GD MS</v>
      </c>
      <c r="E100" s="618" t="str">
        <f>'Total Price List'!E410</f>
        <v>Renewal GOV</v>
      </c>
      <c r="F100" s="619" t="str">
        <f>'Total Price List'!F410</f>
        <v>Renewal</v>
      </c>
      <c r="G100" s="618" t="str">
        <f>'Total Price List'!G410</f>
        <v xml:space="preserve">G Data MailSecurity </v>
      </c>
      <c r="H100" s="618" t="str">
        <f>'Total Price List'!H410</f>
        <v>Mail gateway license renewal government 3 years</v>
      </c>
      <c r="I100" s="624">
        <f>'Total Price List'!I410</f>
        <v>12.5</v>
      </c>
      <c r="J100" s="622">
        <f>'Total Price List'!J410</f>
        <v>12.5</v>
      </c>
    </row>
    <row r="101" spans="1:10" ht="12" customHeight="1" x14ac:dyDescent="0.25">
      <c r="A101" s="626" t="str">
        <f>'Total Price List'!A411</f>
        <v>G Data</v>
      </c>
      <c r="B101" s="619">
        <f>'Total Price List'!B411</f>
        <v>20069</v>
      </c>
      <c r="C101" s="618"/>
      <c r="D101" s="618" t="str">
        <f>'Total Price List'!D411</f>
        <v>Renewal GOV 1Y GD AV</v>
      </c>
      <c r="E101" s="618" t="str">
        <f>'Total Price List'!E411</f>
        <v>Renewal GOV</v>
      </c>
      <c r="F101" s="619" t="str">
        <f>'Total Price List'!F411</f>
        <v>Renewal</v>
      </c>
      <c r="G101" s="618" t="str">
        <f>'Total Price List'!G411</f>
        <v>G Data AntiVirus</v>
      </c>
      <c r="H101" s="618" t="str">
        <f>'Total Price List'!H411</f>
        <v>multi-user license renewal 1 year</v>
      </c>
      <c r="I101" s="624">
        <f>'Total Price List'!I411</f>
        <v>5</v>
      </c>
      <c r="J101" s="622">
        <f>'Total Price List'!J411</f>
        <v>5</v>
      </c>
    </row>
    <row r="102" spans="1:10" ht="12" customHeight="1" x14ac:dyDescent="0.25">
      <c r="A102" s="626" t="str">
        <f>'Total Price List'!A412</f>
        <v>G Data</v>
      </c>
      <c r="B102" s="619">
        <f>'Total Price List'!B412</f>
        <v>20079</v>
      </c>
      <c r="C102" s="618"/>
      <c r="D102" s="618" t="str">
        <f>'Total Price List'!D412</f>
        <v>Renewal GOV 2Y GD AV</v>
      </c>
      <c r="E102" s="618" t="str">
        <f>'Total Price List'!E412</f>
        <v>Renewal GOV</v>
      </c>
      <c r="F102" s="619" t="str">
        <f>'Total Price List'!F412</f>
        <v>Renewal</v>
      </c>
      <c r="G102" s="618" t="str">
        <f>'Total Price List'!G412</f>
        <v>G Data AntiVirus</v>
      </c>
      <c r="H102" s="618" t="str">
        <f>'Total Price List'!H412</f>
        <v>multi-user license renewal 2 years</v>
      </c>
      <c r="I102" s="624">
        <f>'Total Price List'!I412</f>
        <v>8.75</v>
      </c>
      <c r="J102" s="622">
        <f>'Total Price List'!J412</f>
        <v>8.75</v>
      </c>
    </row>
    <row r="103" spans="1:10" ht="12" customHeight="1" x14ac:dyDescent="0.25">
      <c r="A103" s="626" t="str">
        <f>'Total Price List'!A413</f>
        <v>G Data</v>
      </c>
      <c r="B103" s="619">
        <f>'Total Price List'!B413</f>
        <v>20089</v>
      </c>
      <c r="C103" s="618"/>
      <c r="D103" s="618" t="str">
        <f>'Total Price List'!D413</f>
        <v>Renewal GOV 3Y GD AV</v>
      </c>
      <c r="E103" s="618" t="str">
        <f>'Total Price List'!E413</f>
        <v>Renewal GOV</v>
      </c>
      <c r="F103" s="619" t="str">
        <f>'Total Price List'!F413</f>
        <v>Renewal</v>
      </c>
      <c r="G103" s="618" t="str">
        <f>'Total Price List'!G413</f>
        <v>G Data AntiVirus</v>
      </c>
      <c r="H103" s="618" t="str">
        <f>'Total Price List'!H413</f>
        <v>multi-user license renewal 3 years</v>
      </c>
      <c r="I103" s="624">
        <f>'Total Price List'!I413</f>
        <v>12.5</v>
      </c>
      <c r="J103" s="622">
        <f>'Total Price List'!J413</f>
        <v>12.5</v>
      </c>
    </row>
    <row r="104" spans="1:10" ht="12" customHeight="1" x14ac:dyDescent="0.25">
      <c r="A104" s="626" t="str">
        <f>'Total Price List'!A414</f>
        <v>G Data</v>
      </c>
      <c r="B104" s="619">
        <f>'Total Price List'!B414</f>
        <v>20169</v>
      </c>
      <c r="C104" s="618"/>
      <c r="D104" s="618" t="str">
        <f>'Total Price List'!D414</f>
        <v>Renewal GOV 1Y GD IS</v>
      </c>
      <c r="E104" s="618" t="str">
        <f>'Total Price List'!E414</f>
        <v>Renewal GOV</v>
      </c>
      <c r="F104" s="619" t="str">
        <f>'Total Price List'!F414</f>
        <v>Renewal</v>
      </c>
      <c r="G104" s="618" t="str">
        <f>'Total Price List'!G414</f>
        <v>G Data InternetSecurity</v>
      </c>
      <c r="H104" s="618" t="str">
        <f>'Total Price List'!H414</f>
        <v>multi-user license renewal 1 year</v>
      </c>
      <c r="I104" s="624">
        <f>'Total Price List'!I414</f>
        <v>5</v>
      </c>
      <c r="J104" s="622">
        <f>'Total Price List'!J414</f>
        <v>5</v>
      </c>
    </row>
    <row r="105" spans="1:10" ht="12" customHeight="1" x14ac:dyDescent="0.25">
      <c r="A105" s="626" t="str">
        <f>'Total Price List'!A415</f>
        <v>G Data</v>
      </c>
      <c r="B105" s="619">
        <f>'Total Price List'!B415</f>
        <v>20179</v>
      </c>
      <c r="C105" s="618"/>
      <c r="D105" s="618" t="str">
        <f>'Total Price List'!D415</f>
        <v>Renewal GOV 2Y GD IS</v>
      </c>
      <c r="E105" s="618" t="str">
        <f>'Total Price List'!E415</f>
        <v>Renewal GOV</v>
      </c>
      <c r="F105" s="619" t="str">
        <f>'Total Price List'!F415</f>
        <v>Renewal</v>
      </c>
      <c r="G105" s="618" t="str">
        <f>'Total Price List'!G415</f>
        <v>G Data InternetSecurity</v>
      </c>
      <c r="H105" s="618" t="str">
        <f>'Total Price List'!H415</f>
        <v>multi-user license renewal 2 years</v>
      </c>
      <c r="I105" s="624">
        <f>'Total Price List'!I415</f>
        <v>8.75</v>
      </c>
      <c r="J105" s="622">
        <f>'Total Price List'!J415</f>
        <v>8.75</v>
      </c>
    </row>
    <row r="106" spans="1:10" ht="12" customHeight="1" x14ac:dyDescent="0.25">
      <c r="A106" s="626" t="str">
        <f>'Total Price List'!A416</f>
        <v>G Data</v>
      </c>
      <c r="B106" s="619">
        <f>'Total Price List'!B416</f>
        <v>20189</v>
      </c>
      <c r="C106" s="618"/>
      <c r="D106" s="618" t="str">
        <f>'Total Price List'!D416</f>
        <v>Renewal GOV 3Y GD IS</v>
      </c>
      <c r="E106" s="618" t="str">
        <f>'Total Price List'!E416</f>
        <v>Renewal GOV</v>
      </c>
      <c r="F106" s="619" t="str">
        <f>'Total Price List'!F416</f>
        <v>Renewal</v>
      </c>
      <c r="G106" s="618" t="str">
        <f>'Total Price List'!G416</f>
        <v>G Data InternetSecurity</v>
      </c>
      <c r="H106" s="618" t="str">
        <f>'Total Price List'!H416</f>
        <v>multi-user license renewal 3 years</v>
      </c>
      <c r="I106" s="624">
        <f>'Total Price List'!I416</f>
        <v>12.5</v>
      </c>
      <c r="J106" s="622">
        <f>'Total Price List'!J416</f>
        <v>12.5</v>
      </c>
    </row>
    <row r="107" spans="1:10" ht="12" customHeight="1" x14ac:dyDescent="0.25">
      <c r="A107" s="626" t="str">
        <f>'Total Price List'!A417</f>
        <v>G Data</v>
      </c>
      <c r="B107" s="619">
        <f>'Total Price List'!B417</f>
        <v>21769</v>
      </c>
      <c r="C107" s="618"/>
      <c r="D107" s="618" t="str">
        <f>'Total Price List'!D417</f>
        <v>Renewal GOV 1Y GD TP</v>
      </c>
      <c r="E107" s="618" t="str">
        <f>'Total Price List'!E417</f>
        <v>Renewal GOV</v>
      </c>
      <c r="F107" s="619" t="str">
        <f>'Total Price List'!F417</f>
        <v>Renewal</v>
      </c>
      <c r="G107" s="618" t="str">
        <f>'Total Price List'!G417</f>
        <v>G Data TotalProtection</v>
      </c>
      <c r="H107" s="618" t="str">
        <f>'Total Price List'!H417</f>
        <v>multi-user license renewal 1 year</v>
      </c>
      <c r="I107" s="624">
        <f>'Total Price List'!I417</f>
        <v>5</v>
      </c>
      <c r="J107" s="622">
        <f>'Total Price List'!J417</f>
        <v>5</v>
      </c>
    </row>
    <row r="108" spans="1:10" ht="12" customHeight="1" x14ac:dyDescent="0.25">
      <c r="A108" s="626" t="str">
        <f>'Total Price List'!A418</f>
        <v>G Data</v>
      </c>
      <c r="B108" s="619">
        <f>'Total Price List'!B418</f>
        <v>21779</v>
      </c>
      <c r="C108" s="618"/>
      <c r="D108" s="618" t="str">
        <f>'Total Price List'!D418</f>
        <v>Renewal GOV 2Y GD TP</v>
      </c>
      <c r="E108" s="618" t="str">
        <f>'Total Price List'!E418</f>
        <v>Renewal GOV</v>
      </c>
      <c r="F108" s="619" t="str">
        <f>'Total Price List'!F418</f>
        <v>Renewal</v>
      </c>
      <c r="G108" s="618" t="str">
        <f>'Total Price List'!G418</f>
        <v>G Data TotalProtection</v>
      </c>
      <c r="H108" s="618" t="str">
        <f>'Total Price List'!H418</f>
        <v>multi-user license renewal 2 years</v>
      </c>
      <c r="I108" s="624">
        <f>'Total Price List'!I418</f>
        <v>8.75</v>
      </c>
      <c r="J108" s="622">
        <f>'Total Price List'!J418</f>
        <v>8.75</v>
      </c>
    </row>
    <row r="109" spans="1:10" ht="12" customHeight="1" thickBot="1" x14ac:dyDescent="0.3">
      <c r="A109" s="627" t="str">
        <f>'Total Price List'!A419</f>
        <v>G Data</v>
      </c>
      <c r="B109" s="620">
        <f>'Total Price List'!B419</f>
        <v>21789</v>
      </c>
      <c r="C109" s="621"/>
      <c r="D109" s="621" t="str">
        <f>'Total Price List'!D419</f>
        <v>Renewal GOV 3Y GD TP</v>
      </c>
      <c r="E109" s="621" t="str">
        <f>'Total Price List'!E419</f>
        <v>Renewal GOV</v>
      </c>
      <c r="F109" s="620" t="str">
        <f>'Total Price List'!F419</f>
        <v>Renewal</v>
      </c>
      <c r="G109" s="621" t="str">
        <f>'Total Price List'!G419</f>
        <v>G Data TotalProtection</v>
      </c>
      <c r="H109" s="621" t="str">
        <f>'Total Price List'!H419</f>
        <v>multi-user license renewal 3 years</v>
      </c>
      <c r="I109" s="625">
        <f>'Total Price List'!I419</f>
        <v>12.5</v>
      </c>
      <c r="J109" s="623">
        <f>'Total Price List'!J419</f>
        <v>12.5</v>
      </c>
    </row>
    <row r="110" spans="1:10" s="850" customFormat="1" ht="12" customHeight="1" x14ac:dyDescent="0.25">
      <c r="A110" s="628" t="str">
        <f>'Total Price List'!A586</f>
        <v>G Data EDU network license/ multi user license</v>
      </c>
      <c r="B110" s="629"/>
      <c r="C110" s="629"/>
      <c r="D110" s="629"/>
      <c r="E110" s="629"/>
      <c r="F110" s="629"/>
      <c r="G110" s="629"/>
      <c r="H110" s="629"/>
      <c r="I110" s="629"/>
      <c r="J110" s="630"/>
    </row>
    <row r="111" spans="1:10" s="850" customFormat="1" ht="12" customHeight="1" x14ac:dyDescent="0.25">
      <c r="A111" s="606" t="str">
        <f>'Total Price List'!A587</f>
        <v>G Data</v>
      </c>
      <c r="B111" s="593">
        <f>'Total Price List'!B587</f>
        <v>20410</v>
      </c>
      <c r="C111" s="592"/>
      <c r="D111" s="592" t="str">
        <f>'Total Price List'!D587</f>
        <v>License EDU 1Y GD CS BUS -S</v>
      </c>
      <c r="E111" s="592" t="str">
        <f>'Total Price List'!E587</f>
        <v>License EDU</v>
      </c>
      <c r="F111" s="593" t="str">
        <f>'Total Price List'!F587</f>
        <v>License</v>
      </c>
      <c r="G111" s="592" t="str">
        <f>'Total Price List'!G587</f>
        <v>G Data ClientSecurity Business</v>
      </c>
      <c r="H111" s="592" t="str">
        <f>'Total Price List'!H587</f>
        <v>network license 1 year</v>
      </c>
      <c r="I111" s="598">
        <f>'Total Price List'!I587</f>
        <v>395</v>
      </c>
      <c r="J111" s="599">
        <f>'Total Price List'!J587</f>
        <v>395</v>
      </c>
    </row>
    <row r="112" spans="1:10" s="850" customFormat="1" ht="12" customHeight="1" x14ac:dyDescent="0.25">
      <c r="A112" s="606" t="str">
        <f>'Total Price List'!A588</f>
        <v>G Data</v>
      </c>
      <c r="B112" s="593">
        <f>'Total Price List'!B588</f>
        <v>20420</v>
      </c>
      <c r="C112" s="592"/>
      <c r="D112" s="592" t="str">
        <f>'Total Price List'!D588</f>
        <v>License EDU 2Y GD CS BUS -S</v>
      </c>
      <c r="E112" s="592" t="str">
        <f>'Total Price List'!E588</f>
        <v>License EDU</v>
      </c>
      <c r="F112" s="593" t="str">
        <f>'Total Price List'!F588</f>
        <v>License</v>
      </c>
      <c r="G112" s="592" t="str">
        <f>'Total Price List'!G588</f>
        <v>G Data ClientSecurity Business</v>
      </c>
      <c r="H112" s="592" t="str">
        <f>'Total Price List'!H588</f>
        <v>network license 2 years</v>
      </c>
      <c r="I112" s="598">
        <f>'Total Price List'!I588</f>
        <v>578.75</v>
      </c>
      <c r="J112" s="599">
        <f>'Total Price List'!J588</f>
        <v>578.75</v>
      </c>
    </row>
    <row r="113" spans="1:10" s="850" customFormat="1" ht="12" customHeight="1" x14ac:dyDescent="0.25">
      <c r="A113" s="606" t="str">
        <f>'Total Price List'!A589</f>
        <v>G Data</v>
      </c>
      <c r="B113" s="593">
        <f>'Total Price List'!B589</f>
        <v>20430</v>
      </c>
      <c r="C113" s="592"/>
      <c r="D113" s="592" t="str">
        <f>'Total Price List'!D589</f>
        <v>License EDU 3Y GD CS BUS -S</v>
      </c>
      <c r="E113" s="592" t="str">
        <f>'Total Price List'!E589</f>
        <v>License EDU</v>
      </c>
      <c r="F113" s="593" t="str">
        <f>'Total Price List'!F589</f>
        <v>License</v>
      </c>
      <c r="G113" s="592" t="str">
        <f>'Total Price List'!G589</f>
        <v>G Data ClientSecurity Business</v>
      </c>
      <c r="H113" s="592" t="str">
        <f>'Total Price List'!H589</f>
        <v>network license 3 years</v>
      </c>
      <c r="I113" s="598">
        <f>'Total Price List'!I589</f>
        <v>762.5</v>
      </c>
      <c r="J113" s="599">
        <f>'Total Price List'!J589</f>
        <v>762.5</v>
      </c>
    </row>
    <row r="114" spans="1:10" s="850" customFormat="1" ht="12" customHeight="1" x14ac:dyDescent="0.25">
      <c r="A114" s="606" t="str">
        <f>'Total Price List'!A590</f>
        <v>G Data</v>
      </c>
      <c r="B114" s="593">
        <f>'Total Price List'!B590</f>
        <v>20510</v>
      </c>
      <c r="C114" s="592"/>
      <c r="D114" s="592" t="str">
        <f>'Total Price List'!D590</f>
        <v>License EDU 1Y GD CS ENT -S</v>
      </c>
      <c r="E114" s="592" t="str">
        <f>'Total Price List'!E590</f>
        <v>License EDU</v>
      </c>
      <c r="F114" s="593" t="str">
        <f>'Total Price List'!F590</f>
        <v>License</v>
      </c>
      <c r="G114" s="592" t="str">
        <f>'Total Price List'!G590</f>
        <v>G Data ClientSecurity + MailSecurity + Backup</v>
      </c>
      <c r="H114" s="592" t="str">
        <f>'Total Price List'!H590</f>
        <v>network license 1 year</v>
      </c>
      <c r="I114" s="598">
        <f>'Total Price List'!I590</f>
        <v>449</v>
      </c>
      <c r="J114" s="599">
        <f>'Total Price List'!J590</f>
        <v>449</v>
      </c>
    </row>
    <row r="115" spans="1:10" s="850" customFormat="1" ht="12" customHeight="1" x14ac:dyDescent="0.25">
      <c r="A115" s="606" t="str">
        <f>'Total Price List'!A591</f>
        <v>G Data</v>
      </c>
      <c r="B115" s="593">
        <f>'Total Price List'!B591</f>
        <v>20520</v>
      </c>
      <c r="C115" s="592"/>
      <c r="D115" s="592" t="str">
        <f>'Total Price List'!D591</f>
        <v>License EDU 2Y GD CS ENT -S</v>
      </c>
      <c r="E115" s="592" t="str">
        <f>'Total Price List'!E591</f>
        <v>License EDU</v>
      </c>
      <c r="F115" s="593" t="str">
        <f>'Total Price List'!F591</f>
        <v>License</v>
      </c>
      <c r="G115" s="592" t="str">
        <f>'Total Price List'!G591</f>
        <v>G Data ClientSecurity + MailSecurity + Backup</v>
      </c>
      <c r="H115" s="592" t="str">
        <f>'Total Price List'!H591</f>
        <v>network license 2 years</v>
      </c>
      <c r="I115" s="598">
        <f>'Total Price List'!I591</f>
        <v>710.75</v>
      </c>
      <c r="J115" s="599">
        <f>'Total Price List'!J591</f>
        <v>710.75</v>
      </c>
    </row>
    <row r="116" spans="1:10" s="850" customFormat="1" ht="12" customHeight="1" x14ac:dyDescent="0.25">
      <c r="A116" s="606" t="str">
        <f>'Total Price List'!A592</f>
        <v>G Data</v>
      </c>
      <c r="B116" s="593">
        <f>'Total Price List'!B592</f>
        <v>20530</v>
      </c>
      <c r="C116" s="592"/>
      <c r="D116" s="592" t="str">
        <f>'Total Price List'!D592</f>
        <v>License EDU 3Y GD CS ENT -S</v>
      </c>
      <c r="E116" s="592" t="str">
        <f>'Total Price List'!E592</f>
        <v>License EDU</v>
      </c>
      <c r="F116" s="593" t="str">
        <f>'Total Price List'!F592</f>
        <v>License</v>
      </c>
      <c r="G116" s="592" t="str">
        <f>'Total Price List'!G592</f>
        <v>G Data ClientSecurity + MailSecurity + Backup</v>
      </c>
      <c r="H116" s="592" t="str">
        <f>'Total Price List'!H592</f>
        <v>network license 3 years</v>
      </c>
      <c r="I116" s="598">
        <f>'Total Price List'!I592</f>
        <v>972.5</v>
      </c>
      <c r="J116" s="599">
        <f>'Total Price List'!J592</f>
        <v>972.5</v>
      </c>
    </row>
    <row r="117" spans="1:10" s="850" customFormat="1" ht="12" customHeight="1" x14ac:dyDescent="0.25">
      <c r="A117" s="606" t="str">
        <f>'Total Price List'!A593</f>
        <v>G Data</v>
      </c>
      <c r="B117" s="593">
        <f>'Total Price List'!B593</f>
        <v>21010</v>
      </c>
      <c r="C117" s="592"/>
      <c r="D117" s="592" t="str">
        <f>'Total Price List'!D593</f>
        <v>License EDU 1Y GD EP ENT -S</v>
      </c>
      <c r="E117" s="592" t="str">
        <f>'Total Price List'!E593</f>
        <v>License EDU</v>
      </c>
      <c r="F117" s="593" t="str">
        <f>'Total Price List'!F593</f>
        <v>License</v>
      </c>
      <c r="G117" s="592" t="str">
        <f>'Total Price List'!G593</f>
        <v>G Data EndpointProtection + MailSecurity + Backup</v>
      </c>
      <c r="H117" s="592" t="str">
        <f>'Total Price List'!H593</f>
        <v>network license 1 year</v>
      </c>
      <c r="I117" s="598">
        <f>'Total Price List'!I593</f>
        <v>499</v>
      </c>
      <c r="J117" s="599">
        <f>'Total Price List'!J593</f>
        <v>499</v>
      </c>
    </row>
    <row r="118" spans="1:10" s="850" customFormat="1" ht="12" customHeight="1" x14ac:dyDescent="0.25">
      <c r="A118" s="606" t="str">
        <f>'Total Price List'!A594</f>
        <v>G Data</v>
      </c>
      <c r="B118" s="593">
        <f>'Total Price List'!B594</f>
        <v>21020</v>
      </c>
      <c r="C118" s="592"/>
      <c r="D118" s="592" t="str">
        <f>'Total Price List'!D594</f>
        <v>License EDU 2Y GD EP ENT -S</v>
      </c>
      <c r="E118" s="592" t="str">
        <f>'Total Price List'!E594</f>
        <v>License EDU</v>
      </c>
      <c r="F118" s="593" t="str">
        <f>'Total Price List'!F594</f>
        <v>License</v>
      </c>
      <c r="G118" s="592" t="str">
        <f>'Total Price List'!G594</f>
        <v>G Data EndpointProtection + MailSecurity + Backup</v>
      </c>
      <c r="H118" s="592" t="str">
        <f>'Total Price List'!H594</f>
        <v>network license 2 years</v>
      </c>
      <c r="I118" s="598">
        <f>'Total Price List'!I594</f>
        <v>760.75</v>
      </c>
      <c r="J118" s="599">
        <f>'Total Price List'!J594</f>
        <v>760.75</v>
      </c>
    </row>
    <row r="119" spans="1:10" s="850" customFormat="1" ht="12" customHeight="1" x14ac:dyDescent="0.25">
      <c r="A119" s="606" t="str">
        <f>'Total Price List'!A595</f>
        <v>G Data</v>
      </c>
      <c r="B119" s="593">
        <f>'Total Price List'!B595</f>
        <v>21030</v>
      </c>
      <c r="C119" s="592"/>
      <c r="D119" s="592" t="str">
        <f>'Total Price List'!D595</f>
        <v>License EDU 3Y GD EP ENT -S</v>
      </c>
      <c r="E119" s="592" t="str">
        <f>'Total Price List'!E595</f>
        <v>License EDU</v>
      </c>
      <c r="F119" s="593" t="str">
        <f>'Total Price List'!F595</f>
        <v>License</v>
      </c>
      <c r="G119" s="592" t="str">
        <f>'Total Price List'!G595</f>
        <v>G Data EndpointProtection + MailSecurity + Backup</v>
      </c>
      <c r="H119" s="592" t="str">
        <f>'Total Price List'!H595</f>
        <v>network license 3 years</v>
      </c>
      <c r="I119" s="598">
        <f>'Total Price List'!I595</f>
        <v>1022.5</v>
      </c>
      <c r="J119" s="599">
        <f>'Total Price List'!J595</f>
        <v>1022.5</v>
      </c>
    </row>
    <row r="120" spans="1:10" s="850" customFormat="1" ht="12" customHeight="1" x14ac:dyDescent="0.25">
      <c r="A120" s="606" t="str">
        <f>'Total Price List'!A596</f>
        <v>G Data</v>
      </c>
      <c r="B120" s="593">
        <f>'Total Price List'!B596</f>
        <v>22110</v>
      </c>
      <c r="C120" s="592"/>
      <c r="D120" s="592" t="str">
        <f>'Total Price List'!D596</f>
        <v>License EDU 1Y GD PM</v>
      </c>
      <c r="E120" s="592" t="str">
        <f>'Total Price List'!E596</f>
        <v>License EDU</v>
      </c>
      <c r="F120" s="593" t="str">
        <f>'Total Price List'!F596</f>
        <v>License</v>
      </c>
      <c r="G120" s="592" t="str">
        <f>'Total Price List'!G596</f>
        <v>G Data PatchMangement</v>
      </c>
      <c r="H120" s="592" t="str">
        <f>'Total Price List'!H596</f>
        <v>network license 1 year</v>
      </c>
      <c r="I120" s="598">
        <f>'Total Price List'!I596</f>
        <v>395</v>
      </c>
      <c r="J120" s="599">
        <f>'Total Price List'!J596</f>
        <v>395</v>
      </c>
    </row>
    <row r="121" spans="1:10" s="850" customFormat="1" ht="12" customHeight="1" x14ac:dyDescent="0.25">
      <c r="A121" s="606" t="str">
        <f>'Total Price List'!A597</f>
        <v>G Data</v>
      </c>
      <c r="B121" s="593">
        <f>'Total Price List'!B597</f>
        <v>22120</v>
      </c>
      <c r="C121" s="592"/>
      <c r="D121" s="592" t="str">
        <f>'Total Price List'!D597</f>
        <v>License EDU 2Y GD PM</v>
      </c>
      <c r="E121" s="592" t="str">
        <f>'Total Price List'!E597</f>
        <v>License EDU</v>
      </c>
      <c r="F121" s="593" t="str">
        <f>'Total Price List'!F597</f>
        <v>License</v>
      </c>
      <c r="G121" s="592" t="str">
        <f>'Total Price List'!G597</f>
        <v>G Data PatchMangement</v>
      </c>
      <c r="H121" s="592" t="str">
        <f>'Total Price List'!H597</f>
        <v>network license 2 years</v>
      </c>
      <c r="I121" s="598">
        <f>'Total Price List'!I597</f>
        <v>790</v>
      </c>
      <c r="J121" s="599">
        <f>'Total Price List'!J597</f>
        <v>790</v>
      </c>
    </row>
    <row r="122" spans="1:10" s="850" customFormat="1" ht="12" customHeight="1" x14ac:dyDescent="0.25">
      <c r="A122" s="606" t="str">
        <f>'Total Price List'!A598</f>
        <v>G Data</v>
      </c>
      <c r="B122" s="593">
        <f>'Total Price List'!B598</f>
        <v>22130</v>
      </c>
      <c r="C122" s="592"/>
      <c r="D122" s="592" t="str">
        <f>'Total Price List'!D598</f>
        <v>License EDU 3Y GD PM</v>
      </c>
      <c r="E122" s="592" t="str">
        <f>'Total Price List'!E598</f>
        <v>License EDU</v>
      </c>
      <c r="F122" s="593" t="str">
        <f>'Total Price List'!F598</f>
        <v>License</v>
      </c>
      <c r="G122" s="592" t="str">
        <f>'Total Price List'!G598</f>
        <v>G Data PatchMangement</v>
      </c>
      <c r="H122" s="592" t="str">
        <f>'Total Price List'!H598</f>
        <v>network license 3 years</v>
      </c>
      <c r="I122" s="598">
        <f>'Total Price List'!I598</f>
        <v>1185</v>
      </c>
      <c r="J122" s="599">
        <f>'Total Price List'!J598</f>
        <v>1185</v>
      </c>
    </row>
    <row r="123" spans="1:10" s="850" customFormat="1" ht="12" customHeight="1" x14ac:dyDescent="0.25">
      <c r="A123" s="606" t="str">
        <f>'Total Price List'!A599</f>
        <v>G Data</v>
      </c>
      <c r="B123" s="593">
        <f>'Total Price List'!B599</f>
        <v>20610</v>
      </c>
      <c r="C123" s="592"/>
      <c r="D123" s="592" t="str">
        <f>'Total Price List'!D599</f>
        <v xml:space="preserve">License EDU 1Y GD MS  </v>
      </c>
      <c r="E123" s="592" t="str">
        <f>'Total Price List'!E599</f>
        <v>License EDU</v>
      </c>
      <c r="F123" s="593" t="str">
        <f>'Total Price List'!F599</f>
        <v>License</v>
      </c>
      <c r="G123" s="592" t="str">
        <f>'Total Price List'!G599</f>
        <v xml:space="preserve">G Data MailSecurity </v>
      </c>
      <c r="H123" s="592" t="str">
        <f>'Total Price List'!H599</f>
        <v>Mail gateway virus+anti spam license government 1 year</v>
      </c>
      <c r="I123" s="598">
        <f>'Total Price List'!I599</f>
        <v>295</v>
      </c>
      <c r="J123" s="599">
        <f>'Total Price List'!J599</f>
        <v>295</v>
      </c>
    </row>
    <row r="124" spans="1:10" s="850" customFormat="1" ht="12" customHeight="1" x14ac:dyDescent="0.25">
      <c r="A124" s="606" t="str">
        <f>'Total Price List'!A600</f>
        <v>G Data</v>
      </c>
      <c r="B124" s="593">
        <f>'Total Price List'!B600</f>
        <v>20620</v>
      </c>
      <c r="C124" s="592"/>
      <c r="D124" s="592" t="str">
        <f>'Total Price List'!D600</f>
        <v xml:space="preserve">License EDU 2Y GD MS  </v>
      </c>
      <c r="E124" s="592" t="str">
        <f>'Total Price List'!E600</f>
        <v>License EDU</v>
      </c>
      <c r="F124" s="593" t="str">
        <f>'Total Price List'!F600</f>
        <v>License</v>
      </c>
      <c r="G124" s="592" t="str">
        <f>'Total Price List'!G600</f>
        <v xml:space="preserve">G Data MailSecurity </v>
      </c>
      <c r="H124" s="592" t="str">
        <f>'Total Price List'!H600</f>
        <v>Mail gateway virus+anti spam license government 2 years</v>
      </c>
      <c r="I124" s="598">
        <f>'Total Price List'!I600</f>
        <v>441.25</v>
      </c>
      <c r="J124" s="599">
        <f>'Total Price List'!J600</f>
        <v>441.25</v>
      </c>
    </row>
    <row r="125" spans="1:10" s="850" customFormat="1" ht="12" customHeight="1" x14ac:dyDescent="0.25">
      <c r="A125" s="606" t="str">
        <f>'Total Price List'!A601</f>
        <v>G Data</v>
      </c>
      <c r="B125" s="593">
        <f>'Total Price List'!B601</f>
        <v>20630</v>
      </c>
      <c r="C125" s="592"/>
      <c r="D125" s="592" t="str">
        <f>'Total Price List'!D601</f>
        <v xml:space="preserve">License EDU 3Y GD MS  </v>
      </c>
      <c r="E125" s="592" t="str">
        <f>'Total Price List'!E601</f>
        <v>License EDU</v>
      </c>
      <c r="F125" s="593" t="str">
        <f>'Total Price List'!F601</f>
        <v>License</v>
      </c>
      <c r="G125" s="592" t="str">
        <f>'Total Price List'!G601</f>
        <v xml:space="preserve">G Data MailSecurity </v>
      </c>
      <c r="H125" s="592" t="str">
        <f>'Total Price List'!H601</f>
        <v>Mail gateway virus+anti spam license government 3 years</v>
      </c>
      <c r="I125" s="598">
        <f>'Total Price List'!I601</f>
        <v>587.5</v>
      </c>
      <c r="J125" s="599">
        <f>'Total Price List'!J601</f>
        <v>587.5</v>
      </c>
    </row>
    <row r="126" spans="1:10" s="850" customFormat="1" ht="12" customHeight="1" x14ac:dyDescent="0.25">
      <c r="A126" s="606" t="str">
        <f>'Total Price List'!A602</f>
        <v>G Data</v>
      </c>
      <c r="B126" s="593">
        <f>'Total Price List'!B602</f>
        <v>20010</v>
      </c>
      <c r="C126" s="592"/>
      <c r="D126" s="592" t="str">
        <f>'Total Price List'!D602</f>
        <v>License EDU 1Y GD AV -S</v>
      </c>
      <c r="E126" s="592" t="str">
        <f>'Total Price List'!E602</f>
        <v>License EDU</v>
      </c>
      <c r="F126" s="593" t="str">
        <f>'Total Price List'!F602</f>
        <v>License</v>
      </c>
      <c r="G126" s="592" t="str">
        <f>'Total Price List'!G602</f>
        <v>G Data AntiVirus</v>
      </c>
      <c r="H126" s="592" t="str">
        <f>'Total Price List'!H602</f>
        <v>multi-user license 1 year</v>
      </c>
      <c r="I126" s="598">
        <f>'Total Price List'!I602</f>
        <v>295</v>
      </c>
      <c r="J126" s="599">
        <f>'Total Price List'!J602</f>
        <v>295</v>
      </c>
    </row>
    <row r="127" spans="1:10" s="850" customFormat="1" ht="12" customHeight="1" x14ac:dyDescent="0.25">
      <c r="A127" s="606" t="str">
        <f>'Total Price List'!A603</f>
        <v>G Data</v>
      </c>
      <c r="B127" s="593">
        <f>'Total Price List'!B603</f>
        <v>20020</v>
      </c>
      <c r="C127" s="592"/>
      <c r="D127" s="592" t="str">
        <f>'Total Price List'!D603</f>
        <v>License EDU 2Y GD AV -S</v>
      </c>
      <c r="E127" s="592" t="str">
        <f>'Total Price List'!E603</f>
        <v>License EDU</v>
      </c>
      <c r="F127" s="593" t="str">
        <f>'Total Price List'!F603</f>
        <v>License</v>
      </c>
      <c r="G127" s="592" t="str">
        <f>'Total Price List'!G603</f>
        <v>G Data AntiVirus</v>
      </c>
      <c r="H127" s="592" t="str">
        <f>'Total Price List'!H603</f>
        <v>multi-user license 2 years</v>
      </c>
      <c r="I127" s="598">
        <f>'Total Price List'!I603</f>
        <v>441.25</v>
      </c>
      <c r="J127" s="599">
        <f>'Total Price List'!J603</f>
        <v>441.25</v>
      </c>
    </row>
    <row r="128" spans="1:10" s="850" customFormat="1" ht="12" customHeight="1" x14ac:dyDescent="0.25">
      <c r="A128" s="606" t="str">
        <f>'Total Price List'!A604</f>
        <v>G Data</v>
      </c>
      <c r="B128" s="593">
        <f>'Total Price List'!B604</f>
        <v>20030</v>
      </c>
      <c r="C128" s="592"/>
      <c r="D128" s="592" t="str">
        <f>'Total Price List'!D604</f>
        <v>License EDU 3Y GD AV -S</v>
      </c>
      <c r="E128" s="592" t="str">
        <f>'Total Price List'!E604</f>
        <v>License EDU</v>
      </c>
      <c r="F128" s="593" t="str">
        <f>'Total Price List'!F604</f>
        <v>License</v>
      </c>
      <c r="G128" s="592" t="str">
        <f>'Total Price List'!G604</f>
        <v>G Data AntiVirus</v>
      </c>
      <c r="H128" s="592" t="str">
        <f>'Total Price List'!H604</f>
        <v>multi-user license 3 years</v>
      </c>
      <c r="I128" s="598">
        <f>'Total Price List'!I604</f>
        <v>587.5</v>
      </c>
      <c r="J128" s="599">
        <f>'Total Price List'!J604</f>
        <v>587.5</v>
      </c>
    </row>
    <row r="129" spans="1:10" s="850" customFormat="1" ht="12" customHeight="1" x14ac:dyDescent="0.25">
      <c r="A129" s="606" t="str">
        <f>'Total Price List'!A605</f>
        <v>G Data</v>
      </c>
      <c r="B129" s="593">
        <f>'Total Price List'!B605</f>
        <v>20110</v>
      </c>
      <c r="C129" s="592"/>
      <c r="D129" s="592" t="str">
        <f>'Total Price List'!D605</f>
        <v>License EDU 1Y GD IS -S</v>
      </c>
      <c r="E129" s="592" t="str">
        <f>'Total Price List'!E605</f>
        <v>License EDU</v>
      </c>
      <c r="F129" s="593" t="str">
        <f>'Total Price List'!F605</f>
        <v>License</v>
      </c>
      <c r="G129" s="592" t="str">
        <f>'Total Price List'!G605</f>
        <v>G Data InternetSecurity</v>
      </c>
      <c r="H129" s="592" t="str">
        <f>'Total Price List'!H605</f>
        <v>multi-user license 1 year</v>
      </c>
      <c r="I129" s="598">
        <f>'Total Price List'!I605</f>
        <v>350</v>
      </c>
      <c r="J129" s="599">
        <f>'Total Price List'!J605</f>
        <v>350</v>
      </c>
    </row>
    <row r="130" spans="1:10" s="850" customFormat="1" ht="12" customHeight="1" x14ac:dyDescent="0.25">
      <c r="A130" s="606" t="str">
        <f>'Total Price List'!A606</f>
        <v>G Data</v>
      </c>
      <c r="B130" s="593">
        <f>'Total Price List'!B606</f>
        <v>20120</v>
      </c>
      <c r="C130" s="592"/>
      <c r="D130" s="592" t="str">
        <f>'Total Price List'!D606</f>
        <v>License EDU 2Y GD IS -S</v>
      </c>
      <c r="E130" s="592" t="str">
        <f>'Total Price List'!E606</f>
        <v>License EDU</v>
      </c>
      <c r="F130" s="593" t="str">
        <f>'Total Price List'!F606</f>
        <v>License</v>
      </c>
      <c r="G130" s="592" t="str">
        <f>'Total Price List'!G606</f>
        <v>G Data InternetSecurity</v>
      </c>
      <c r="H130" s="592" t="str">
        <f>'Total Price List'!H606</f>
        <v>multi-user license 2 years</v>
      </c>
      <c r="I130" s="598">
        <f>'Total Price List'!I606</f>
        <v>533.75</v>
      </c>
      <c r="J130" s="599">
        <f>'Total Price List'!J606</f>
        <v>533.75</v>
      </c>
    </row>
    <row r="131" spans="1:10" s="850" customFormat="1" ht="12" customHeight="1" x14ac:dyDescent="0.25">
      <c r="A131" s="606" t="str">
        <f>'Total Price List'!A607</f>
        <v>G Data</v>
      </c>
      <c r="B131" s="593">
        <f>'Total Price List'!B607</f>
        <v>20130</v>
      </c>
      <c r="C131" s="592"/>
      <c r="D131" s="592" t="str">
        <f>'Total Price List'!D607</f>
        <v>License EDU 3Y GD IS -S</v>
      </c>
      <c r="E131" s="592" t="str">
        <f>'Total Price List'!E607</f>
        <v>License EDU</v>
      </c>
      <c r="F131" s="593" t="str">
        <f>'Total Price List'!F607</f>
        <v>License</v>
      </c>
      <c r="G131" s="592" t="str">
        <f>'Total Price List'!G607</f>
        <v>G Data InternetSecurity</v>
      </c>
      <c r="H131" s="592" t="str">
        <f>'Total Price List'!H607</f>
        <v>multi-user license 3 years</v>
      </c>
      <c r="I131" s="598">
        <f>'Total Price List'!I607</f>
        <v>717.5</v>
      </c>
      <c r="J131" s="599">
        <f>'Total Price List'!J607</f>
        <v>717.5</v>
      </c>
    </row>
    <row r="132" spans="1:10" s="850" customFormat="1" ht="12" customHeight="1" x14ac:dyDescent="0.25">
      <c r="A132" s="606" t="str">
        <f>'Total Price List'!A608</f>
        <v>G Data</v>
      </c>
      <c r="B132" s="593">
        <f>'Total Price List'!B608</f>
        <v>21710</v>
      </c>
      <c r="C132" s="592"/>
      <c r="D132" s="592" t="str">
        <f>'Total Price List'!D608</f>
        <v>License EDU 1Y GD TP -S</v>
      </c>
      <c r="E132" s="592" t="str">
        <f>'Total Price List'!E608</f>
        <v>License EDU</v>
      </c>
      <c r="F132" s="593" t="str">
        <f>'Total Price List'!F608</f>
        <v>License</v>
      </c>
      <c r="G132" s="592" t="str">
        <f>'Total Price List'!G608</f>
        <v>G Data TotalProtection</v>
      </c>
      <c r="H132" s="592" t="str">
        <f>'Total Price List'!H608</f>
        <v>multi-user license 1 year</v>
      </c>
      <c r="I132" s="598">
        <f>'Total Price List'!I608</f>
        <v>395</v>
      </c>
      <c r="J132" s="599">
        <f>'Total Price List'!J608</f>
        <v>395</v>
      </c>
    </row>
    <row r="133" spans="1:10" s="850" customFormat="1" ht="12" customHeight="1" x14ac:dyDescent="0.25">
      <c r="A133" s="606" t="str">
        <f>'Total Price List'!A609</f>
        <v>G Data</v>
      </c>
      <c r="B133" s="593">
        <f>'Total Price List'!B609</f>
        <v>21720</v>
      </c>
      <c r="C133" s="592"/>
      <c r="D133" s="592" t="str">
        <f>'Total Price List'!D609</f>
        <v>License EDU 2Y GD TP -S</v>
      </c>
      <c r="E133" s="592" t="str">
        <f>'Total Price List'!E609</f>
        <v>License EDU</v>
      </c>
      <c r="F133" s="593" t="str">
        <f>'Total Price List'!F609</f>
        <v>License</v>
      </c>
      <c r="G133" s="592" t="str">
        <f>'Total Price List'!G609</f>
        <v>G Data TotalProtection</v>
      </c>
      <c r="H133" s="592" t="str">
        <f>'Total Price List'!H609</f>
        <v>multi-user license 2 years</v>
      </c>
      <c r="I133" s="598">
        <f>'Total Price List'!I609</f>
        <v>578.75</v>
      </c>
      <c r="J133" s="599">
        <f>'Total Price List'!J609</f>
        <v>578.75</v>
      </c>
    </row>
    <row r="134" spans="1:10" s="850" customFormat="1" ht="12" customHeight="1" thickBot="1" x14ac:dyDescent="0.3">
      <c r="A134" s="606" t="str">
        <f>'Total Price List'!A610</f>
        <v>G Data</v>
      </c>
      <c r="B134" s="593">
        <f>'Total Price List'!B610</f>
        <v>21730</v>
      </c>
      <c r="C134" s="592"/>
      <c r="D134" s="592" t="str">
        <f>'Total Price List'!D610</f>
        <v>License EDU 3Y GD TP -S</v>
      </c>
      <c r="E134" s="592" t="str">
        <f>'Total Price List'!E610</f>
        <v>License EDU</v>
      </c>
      <c r="F134" s="593" t="str">
        <f>'Total Price List'!F610</f>
        <v>License</v>
      </c>
      <c r="G134" s="592" t="str">
        <f>'Total Price List'!G610</f>
        <v>G Data TotalProtection</v>
      </c>
      <c r="H134" s="592" t="str">
        <f>'Total Price List'!H610</f>
        <v>multi-user license 3 years</v>
      </c>
      <c r="I134" s="598">
        <f>'Total Price List'!I610</f>
        <v>762.5</v>
      </c>
      <c r="J134" s="599">
        <f>'Total Price List'!J610</f>
        <v>762.5</v>
      </c>
    </row>
    <row r="135" spans="1:10" s="850" customFormat="1" ht="12" customHeight="1" x14ac:dyDescent="0.25">
      <c r="A135" s="628" t="str">
        <f>'Total Price List'!A611</f>
        <v>G Data EDU network license/ multi user license renewal</v>
      </c>
      <c r="B135" s="629"/>
      <c r="C135" s="629"/>
      <c r="D135" s="629"/>
      <c r="E135" s="629"/>
      <c r="F135" s="629"/>
      <c r="G135" s="629"/>
      <c r="H135" s="629"/>
      <c r="I135" s="629"/>
      <c r="J135" s="630"/>
    </row>
    <row r="136" spans="1:10" s="850" customFormat="1" ht="12" customHeight="1" x14ac:dyDescent="0.25">
      <c r="A136" s="626" t="str">
        <f>'Total Price List'!A612</f>
        <v>G Data</v>
      </c>
      <c r="B136" s="619">
        <f>'Total Price List'!B612</f>
        <v>20460</v>
      </c>
      <c r="C136" s="618"/>
      <c r="D136" s="618" t="str">
        <f>'Total Price List'!D612</f>
        <v>Renewal EDU 1Y GD CS BUS -S</v>
      </c>
      <c r="E136" s="618" t="str">
        <f>'Total Price List'!E612</f>
        <v>Renewal EDU</v>
      </c>
      <c r="F136" s="619" t="str">
        <f>'Total Price List'!F612</f>
        <v>Renewal</v>
      </c>
      <c r="G136" s="618" t="str">
        <f>'Total Price List'!G612</f>
        <v>G Data ClientSecurity Business</v>
      </c>
      <c r="H136" s="618" t="str">
        <f>'Total Price List'!H612</f>
        <v>network license renewal 1 year</v>
      </c>
      <c r="I136" s="624">
        <f>'Total Price List'!I612</f>
        <v>245</v>
      </c>
      <c r="J136" s="622">
        <f>'Total Price List'!J612</f>
        <v>245</v>
      </c>
    </row>
    <row r="137" spans="1:10" s="850" customFormat="1" ht="12" customHeight="1" x14ac:dyDescent="0.25">
      <c r="A137" s="626" t="str">
        <f>'Total Price List'!A613</f>
        <v>G Data</v>
      </c>
      <c r="B137" s="619">
        <f>'Total Price List'!B613</f>
        <v>20470</v>
      </c>
      <c r="C137" s="618"/>
      <c r="D137" s="618" t="str">
        <f>'Total Price List'!D613</f>
        <v>Renewal EDU 2Y GD CS BUS -S</v>
      </c>
      <c r="E137" s="618" t="str">
        <f>'Total Price List'!E613</f>
        <v>Renewal EDU</v>
      </c>
      <c r="F137" s="619" t="str">
        <f>'Total Price List'!F613</f>
        <v>Renewal</v>
      </c>
      <c r="G137" s="618" t="str">
        <f>'Total Price List'!G613</f>
        <v>G Data ClientSecurity Business</v>
      </c>
      <c r="H137" s="618" t="str">
        <f>'Total Price List'!H613</f>
        <v>network license renewal 2 years</v>
      </c>
      <c r="I137" s="624">
        <f>'Total Price List'!I613</f>
        <v>428.75</v>
      </c>
      <c r="J137" s="622">
        <f>'Total Price List'!J613</f>
        <v>428.75</v>
      </c>
    </row>
    <row r="138" spans="1:10" s="850" customFormat="1" ht="12" customHeight="1" x14ac:dyDescent="0.25">
      <c r="A138" s="626" t="str">
        <f>'Total Price List'!A614</f>
        <v>G Data</v>
      </c>
      <c r="B138" s="619">
        <f>'Total Price List'!B614</f>
        <v>20480</v>
      </c>
      <c r="C138" s="618"/>
      <c r="D138" s="618" t="str">
        <f>'Total Price List'!D614</f>
        <v>Renewal EDU 3Y GD CS BUS -S</v>
      </c>
      <c r="E138" s="618" t="str">
        <f>'Total Price List'!E614</f>
        <v>Renewal EDU</v>
      </c>
      <c r="F138" s="619" t="str">
        <f>'Total Price List'!F614</f>
        <v>Renewal</v>
      </c>
      <c r="G138" s="618" t="str">
        <f>'Total Price List'!G614</f>
        <v>G Data ClientSecurity Business</v>
      </c>
      <c r="H138" s="618" t="str">
        <f>'Total Price List'!H614</f>
        <v>network license renewal 3 years</v>
      </c>
      <c r="I138" s="624">
        <f>'Total Price List'!I614</f>
        <v>612.5</v>
      </c>
      <c r="J138" s="622">
        <f>'Total Price List'!J614</f>
        <v>612.5</v>
      </c>
    </row>
    <row r="139" spans="1:10" s="850" customFormat="1" ht="12" customHeight="1" x14ac:dyDescent="0.25">
      <c r="A139" s="626" t="str">
        <f>'Total Price List'!A615</f>
        <v>G Data</v>
      </c>
      <c r="B139" s="619">
        <f>'Total Price List'!B615</f>
        <v>20560</v>
      </c>
      <c r="C139" s="618"/>
      <c r="D139" s="618" t="str">
        <f>'Total Price List'!D615</f>
        <v>Renewal EDU 1Y GD CS ENT -S</v>
      </c>
      <c r="E139" s="618" t="str">
        <f>'Total Price List'!E615</f>
        <v>Renewal EDU</v>
      </c>
      <c r="F139" s="619" t="str">
        <f>'Total Price List'!F615</f>
        <v>Renewal</v>
      </c>
      <c r="G139" s="618" t="str">
        <f>'Total Price List'!G615</f>
        <v>G Data ClientSecurity + MailSecurity + Backup</v>
      </c>
      <c r="H139" s="618" t="str">
        <f>'Total Price List'!H615</f>
        <v>network license renewal 1 year</v>
      </c>
      <c r="I139" s="624">
        <f>'Total Price List'!I615</f>
        <v>295</v>
      </c>
      <c r="J139" s="622">
        <f>'Total Price List'!J615</f>
        <v>295</v>
      </c>
    </row>
    <row r="140" spans="1:10" s="850" customFormat="1" ht="12" customHeight="1" x14ac:dyDescent="0.25">
      <c r="A140" s="626" t="str">
        <f>'Total Price List'!A616</f>
        <v>G Data</v>
      </c>
      <c r="B140" s="619">
        <f>'Total Price List'!B616</f>
        <v>20570</v>
      </c>
      <c r="C140" s="618"/>
      <c r="D140" s="618" t="str">
        <f>'Total Price List'!D616</f>
        <v>Renewal EDU 2Y GD CS ENT -S</v>
      </c>
      <c r="E140" s="618" t="str">
        <f>'Total Price List'!E616</f>
        <v>Renewal EDU</v>
      </c>
      <c r="F140" s="619" t="str">
        <f>'Total Price List'!F616</f>
        <v>Renewal</v>
      </c>
      <c r="G140" s="618" t="str">
        <f>'Total Price List'!G616</f>
        <v>G Data ClientSecurity + MailSecurity + Backup</v>
      </c>
      <c r="H140" s="618" t="str">
        <f>'Total Price List'!H616</f>
        <v>network license renewal 2 years</v>
      </c>
      <c r="I140" s="624">
        <f>'Total Price List'!I616</f>
        <v>516.25</v>
      </c>
      <c r="J140" s="622">
        <f>'Total Price List'!J616</f>
        <v>516.25</v>
      </c>
    </row>
    <row r="141" spans="1:10" s="850" customFormat="1" ht="12" customHeight="1" x14ac:dyDescent="0.25">
      <c r="A141" s="626" t="str">
        <f>'Total Price List'!A617</f>
        <v>G Data</v>
      </c>
      <c r="B141" s="619">
        <f>'Total Price List'!B617</f>
        <v>20580</v>
      </c>
      <c r="C141" s="618"/>
      <c r="D141" s="618" t="str">
        <f>'Total Price List'!D617</f>
        <v>Renewal EDU 3Y GD CS ENT -S</v>
      </c>
      <c r="E141" s="618" t="str">
        <f>'Total Price List'!E617</f>
        <v>Renewal EDU</v>
      </c>
      <c r="F141" s="619" t="str">
        <f>'Total Price List'!F617</f>
        <v>Renewal</v>
      </c>
      <c r="G141" s="618" t="str">
        <f>'Total Price List'!G617</f>
        <v>G Data ClientSecurity + MailSecurity + Backup</v>
      </c>
      <c r="H141" s="618" t="str">
        <f>'Total Price List'!H617</f>
        <v>network license renewal 3 years</v>
      </c>
      <c r="I141" s="624">
        <f>'Total Price List'!I617</f>
        <v>737.5</v>
      </c>
      <c r="J141" s="622">
        <f>'Total Price List'!J617</f>
        <v>737.5</v>
      </c>
    </row>
    <row r="142" spans="1:10" s="850" customFormat="1" ht="12" customHeight="1" x14ac:dyDescent="0.25">
      <c r="A142" s="626" t="str">
        <f>'Total Price List'!A618</f>
        <v>G Data</v>
      </c>
      <c r="B142" s="619">
        <f>'Total Price List'!B618</f>
        <v>20960</v>
      </c>
      <c r="C142" s="618"/>
      <c r="D142" s="618" t="str">
        <f>'Total Price List'!D618</f>
        <v>Renewal EDU 1Y GD EP BUS -S</v>
      </c>
      <c r="E142" s="618" t="str">
        <f>'Total Price List'!E618</f>
        <v>Renewal EDU</v>
      </c>
      <c r="F142" s="619" t="str">
        <f>'Total Price List'!F618</f>
        <v>Renewal</v>
      </c>
      <c r="G142" s="618" t="str">
        <f>'Total Price List'!G618</f>
        <v>G Data EndpointProtection Business</v>
      </c>
      <c r="H142" s="618" t="str">
        <f>'Total Price List'!H618</f>
        <v>network license renewal 1 year</v>
      </c>
      <c r="I142" s="624">
        <f>'Total Price List'!I618</f>
        <v>295</v>
      </c>
      <c r="J142" s="622">
        <f>'Total Price List'!J618</f>
        <v>295</v>
      </c>
    </row>
    <row r="143" spans="1:10" s="850" customFormat="1" ht="12" customHeight="1" x14ac:dyDescent="0.25">
      <c r="A143" s="626" t="str">
        <f>'Total Price List'!A619</f>
        <v>G Data</v>
      </c>
      <c r="B143" s="619">
        <f>'Total Price List'!B619</f>
        <v>20970</v>
      </c>
      <c r="C143" s="618"/>
      <c r="D143" s="618" t="str">
        <f>'Total Price List'!D619</f>
        <v>Renewal EDU 2Y GD EP BUS -S</v>
      </c>
      <c r="E143" s="618" t="str">
        <f>'Total Price List'!E619</f>
        <v>Renewal EDU</v>
      </c>
      <c r="F143" s="619" t="str">
        <f>'Total Price List'!F619</f>
        <v>Renewal</v>
      </c>
      <c r="G143" s="618" t="str">
        <f>'Total Price List'!G619</f>
        <v>G Data EndpointProtection Business</v>
      </c>
      <c r="H143" s="618" t="str">
        <f>'Total Price List'!H619</f>
        <v>network license renewal 2 years</v>
      </c>
      <c r="I143" s="624">
        <f>'Total Price List'!I619</f>
        <v>516.25</v>
      </c>
      <c r="J143" s="622">
        <f>'Total Price List'!J619</f>
        <v>516.25</v>
      </c>
    </row>
    <row r="144" spans="1:10" s="850" customFormat="1" ht="12" customHeight="1" x14ac:dyDescent="0.25">
      <c r="A144" s="626" t="str">
        <f>'Total Price List'!A620</f>
        <v>G Data</v>
      </c>
      <c r="B144" s="619">
        <f>'Total Price List'!B620</f>
        <v>20980</v>
      </c>
      <c r="C144" s="618"/>
      <c r="D144" s="618" t="str">
        <f>'Total Price List'!D620</f>
        <v>Renewal EDU 3Y GD EP BUS -S</v>
      </c>
      <c r="E144" s="618" t="str">
        <f>'Total Price List'!E620</f>
        <v>Renewal EDU</v>
      </c>
      <c r="F144" s="619" t="str">
        <f>'Total Price List'!F620</f>
        <v>Renewal</v>
      </c>
      <c r="G144" s="618" t="str">
        <f>'Total Price List'!G620</f>
        <v>G Data EndpointProtection Business</v>
      </c>
      <c r="H144" s="618" t="str">
        <f>'Total Price List'!H620</f>
        <v>network license renewal 3 years</v>
      </c>
      <c r="I144" s="624">
        <f>'Total Price List'!I620</f>
        <v>737.5</v>
      </c>
      <c r="J144" s="622">
        <f>'Total Price List'!J620</f>
        <v>737.5</v>
      </c>
    </row>
    <row r="145" spans="1:10" s="850" customFormat="1" ht="12" customHeight="1" x14ac:dyDescent="0.25">
      <c r="A145" s="626" t="str">
        <f>'Total Price List'!A621</f>
        <v>G Data</v>
      </c>
      <c r="B145" s="619">
        <f>'Total Price List'!B621</f>
        <v>21060</v>
      </c>
      <c r="C145" s="618"/>
      <c r="D145" s="618" t="str">
        <f>'Total Price List'!D621</f>
        <v>Renewal EDU 1Y GD EP ENT -S</v>
      </c>
      <c r="E145" s="618" t="str">
        <f>'Total Price List'!E621</f>
        <v>Renewal EDU</v>
      </c>
      <c r="F145" s="619" t="str">
        <f>'Total Price List'!F621</f>
        <v>Renewal</v>
      </c>
      <c r="G145" s="618" t="str">
        <f>'Total Price List'!G621</f>
        <v>G Data EndpointProtection + MailSecurity + Backup</v>
      </c>
      <c r="H145" s="618" t="str">
        <f>'Total Price List'!H621</f>
        <v>network license renewal 1 year</v>
      </c>
      <c r="I145" s="624">
        <f>'Total Price List'!I621</f>
        <v>349</v>
      </c>
      <c r="J145" s="622">
        <f>'Total Price List'!J621</f>
        <v>349</v>
      </c>
    </row>
    <row r="146" spans="1:10" s="850" customFormat="1" ht="12" customHeight="1" x14ac:dyDescent="0.25">
      <c r="A146" s="626" t="str">
        <f>'Total Price List'!A622</f>
        <v>G Data</v>
      </c>
      <c r="B146" s="619">
        <f>'Total Price List'!B622</f>
        <v>21070</v>
      </c>
      <c r="C146" s="618"/>
      <c r="D146" s="618" t="str">
        <f>'Total Price List'!D622</f>
        <v>Renewal EDU 2Y GD EP ENT -S</v>
      </c>
      <c r="E146" s="618" t="str">
        <f>'Total Price List'!E622</f>
        <v>Renewal EDU</v>
      </c>
      <c r="F146" s="619" t="str">
        <f>'Total Price List'!F622</f>
        <v>Renewal</v>
      </c>
      <c r="G146" s="618" t="str">
        <f>'Total Price List'!G622</f>
        <v>G Data EndpointProtection + MailSecurity + Backup</v>
      </c>
      <c r="H146" s="618" t="str">
        <f>'Total Price List'!H622</f>
        <v>network license renewal 2 years</v>
      </c>
      <c r="I146" s="624">
        <f>'Total Price List'!I622</f>
        <v>610.75</v>
      </c>
      <c r="J146" s="622">
        <f>'Total Price List'!J622</f>
        <v>610.75</v>
      </c>
    </row>
    <row r="147" spans="1:10" s="850" customFormat="1" ht="12" customHeight="1" x14ac:dyDescent="0.25">
      <c r="A147" s="626" t="str">
        <f>'Total Price List'!A623</f>
        <v>G Data</v>
      </c>
      <c r="B147" s="619">
        <f>'Total Price List'!B623</f>
        <v>21080</v>
      </c>
      <c r="C147" s="618"/>
      <c r="D147" s="618" t="str">
        <f>'Total Price List'!D623</f>
        <v>Renewal EDU 3Y GD EP ENT -S</v>
      </c>
      <c r="E147" s="618" t="str">
        <f>'Total Price List'!E623</f>
        <v>Renewal EDU</v>
      </c>
      <c r="F147" s="619" t="str">
        <f>'Total Price List'!F623</f>
        <v>Renewal</v>
      </c>
      <c r="G147" s="618" t="str">
        <f>'Total Price List'!G623</f>
        <v>G Data EndpointProtection + MailSecurity + Backup</v>
      </c>
      <c r="H147" s="618" t="str">
        <f>'Total Price List'!H623</f>
        <v>network license renewal 3 years</v>
      </c>
      <c r="I147" s="624">
        <f>'Total Price List'!I623</f>
        <v>872.5</v>
      </c>
      <c r="J147" s="622">
        <f>'Total Price List'!J623</f>
        <v>872.5</v>
      </c>
    </row>
    <row r="148" spans="1:10" s="850" customFormat="1" ht="12" customHeight="1" x14ac:dyDescent="0.25">
      <c r="A148" s="626" t="str">
        <f>'Total Price List'!A624</f>
        <v>G Data</v>
      </c>
      <c r="B148" s="619">
        <f>'Total Price List'!B624</f>
        <v>22160</v>
      </c>
      <c r="C148" s="618"/>
      <c r="D148" s="618" t="str">
        <f>'Total Price List'!D624</f>
        <v>Renewal EDU 1Y GD PM</v>
      </c>
      <c r="E148" s="618" t="str">
        <f>'Total Price List'!E624</f>
        <v>Renewal EDU</v>
      </c>
      <c r="F148" s="619" t="str">
        <f>'Total Price List'!F624</f>
        <v>Renewal</v>
      </c>
      <c r="G148" s="618" t="str">
        <f>'Total Price List'!G624</f>
        <v>G Data PatchMangement</v>
      </c>
      <c r="H148" s="618" t="str">
        <f>'Total Price List'!H624</f>
        <v>network license renewal 1 year</v>
      </c>
      <c r="I148" s="624">
        <f>'Total Price List'!I624</f>
        <v>395</v>
      </c>
      <c r="J148" s="622">
        <f>'Total Price List'!J624</f>
        <v>395</v>
      </c>
    </row>
    <row r="149" spans="1:10" s="850" customFormat="1" ht="12" customHeight="1" x14ac:dyDescent="0.25">
      <c r="A149" s="626" t="str">
        <f>'Total Price List'!A625</f>
        <v>G Data</v>
      </c>
      <c r="B149" s="619">
        <f>'Total Price List'!B625</f>
        <v>22170</v>
      </c>
      <c r="C149" s="618"/>
      <c r="D149" s="618" t="str">
        <f>'Total Price List'!D625</f>
        <v>Renewal EDU 2Y GD PM</v>
      </c>
      <c r="E149" s="618" t="str">
        <f>'Total Price List'!E625</f>
        <v>Renewal EDU</v>
      </c>
      <c r="F149" s="619" t="str">
        <f>'Total Price List'!F625</f>
        <v>Renewal</v>
      </c>
      <c r="G149" s="618" t="str">
        <f>'Total Price List'!G625</f>
        <v>G Data PatchMangement</v>
      </c>
      <c r="H149" s="618" t="str">
        <f>'Total Price List'!H625</f>
        <v>network license renewal 2 years</v>
      </c>
      <c r="I149" s="624">
        <f>'Total Price List'!I625</f>
        <v>790</v>
      </c>
      <c r="J149" s="622">
        <f>'Total Price List'!J625</f>
        <v>790</v>
      </c>
    </row>
    <row r="150" spans="1:10" s="851" customFormat="1" ht="12" customHeight="1" x14ac:dyDescent="0.25">
      <c r="A150" s="626" t="str">
        <f>'Total Price List'!A626</f>
        <v>G Data</v>
      </c>
      <c r="B150" s="619">
        <f>'Total Price List'!B626</f>
        <v>22180</v>
      </c>
      <c r="C150" s="618"/>
      <c r="D150" s="618" t="str">
        <f>'Total Price List'!D626</f>
        <v>Renewal EDU 3Y GD PM</v>
      </c>
      <c r="E150" s="618" t="str">
        <f>'Total Price List'!E626</f>
        <v>Renewal EDU</v>
      </c>
      <c r="F150" s="619" t="str">
        <f>'Total Price List'!F626</f>
        <v>Renewal</v>
      </c>
      <c r="G150" s="618" t="str">
        <f>'Total Price List'!G626</f>
        <v>G Data PatchMangement</v>
      </c>
      <c r="H150" s="618" t="str">
        <f>'Total Price List'!H626</f>
        <v>network license renewal 3 years</v>
      </c>
      <c r="I150" s="624">
        <f>'Total Price List'!I626</f>
        <v>1185</v>
      </c>
      <c r="J150" s="622">
        <f>'Total Price List'!J626</f>
        <v>1185</v>
      </c>
    </row>
    <row r="151" spans="1:10" s="850" customFormat="1" ht="12" customHeight="1" x14ac:dyDescent="0.25">
      <c r="A151" s="626" t="str">
        <f>'Total Price List'!A627</f>
        <v>G Data</v>
      </c>
      <c r="B151" s="619">
        <f>'Total Price List'!B627</f>
        <v>20060</v>
      </c>
      <c r="C151" s="618"/>
      <c r="D151" s="618" t="str">
        <f>'Total Price List'!D627</f>
        <v>Renewal EDU 1Y GD AV -S</v>
      </c>
      <c r="E151" s="618" t="str">
        <f>'Total Price List'!E627</f>
        <v>Renewal EDU</v>
      </c>
      <c r="F151" s="619" t="str">
        <f>'Total Price List'!F627</f>
        <v>Renewal</v>
      </c>
      <c r="G151" s="618" t="str">
        <f>'Total Price List'!G627</f>
        <v>G Data AntiVirus</v>
      </c>
      <c r="H151" s="618" t="str">
        <f>'Total Price List'!H627</f>
        <v>multi-user license renewal 1 year</v>
      </c>
      <c r="I151" s="624">
        <f>'Total Price List'!I627</f>
        <v>195</v>
      </c>
      <c r="J151" s="622">
        <f>'Total Price List'!J627</f>
        <v>195</v>
      </c>
    </row>
    <row r="152" spans="1:10" s="850" customFormat="1" ht="12" customHeight="1" x14ac:dyDescent="0.25">
      <c r="A152" s="626" t="str">
        <f>'Total Price List'!A628</f>
        <v>G Data</v>
      </c>
      <c r="B152" s="619">
        <f>'Total Price List'!B628</f>
        <v>20070</v>
      </c>
      <c r="C152" s="618"/>
      <c r="D152" s="618" t="str">
        <f>'Total Price List'!D628</f>
        <v>Renewal EDU 2Y GD AV -S</v>
      </c>
      <c r="E152" s="618" t="str">
        <f>'Total Price List'!E628</f>
        <v>Renewal EDU</v>
      </c>
      <c r="F152" s="619" t="str">
        <f>'Total Price List'!F628</f>
        <v>Renewal</v>
      </c>
      <c r="G152" s="618" t="str">
        <f>'Total Price List'!G628</f>
        <v>G Data AntiVirus</v>
      </c>
      <c r="H152" s="618" t="str">
        <f>'Total Price List'!H628</f>
        <v>multi-user license renewal 2 years</v>
      </c>
      <c r="I152" s="624">
        <f>'Total Price List'!I628</f>
        <v>341.25</v>
      </c>
      <c r="J152" s="622">
        <f>'Total Price List'!J628</f>
        <v>341.25</v>
      </c>
    </row>
    <row r="153" spans="1:10" s="850" customFormat="1" ht="12" customHeight="1" x14ac:dyDescent="0.25">
      <c r="A153" s="626" t="str">
        <f>'Total Price List'!A629</f>
        <v>G Data</v>
      </c>
      <c r="B153" s="619">
        <f>'Total Price List'!B629</f>
        <v>20080</v>
      </c>
      <c r="C153" s="618"/>
      <c r="D153" s="618" t="str">
        <f>'Total Price List'!D629</f>
        <v>Renewal EDU 3Y GD AV -S</v>
      </c>
      <c r="E153" s="618" t="str">
        <f>'Total Price List'!E629</f>
        <v>Renewal EDU</v>
      </c>
      <c r="F153" s="619" t="str">
        <f>'Total Price List'!F629</f>
        <v>Renewal</v>
      </c>
      <c r="G153" s="618" t="str">
        <f>'Total Price List'!G629</f>
        <v>G Data AntiVirus</v>
      </c>
      <c r="H153" s="618" t="str">
        <f>'Total Price List'!H629</f>
        <v>multi-user license renewal 3 years</v>
      </c>
      <c r="I153" s="624">
        <f>'Total Price List'!I629</f>
        <v>487.5</v>
      </c>
      <c r="J153" s="622">
        <f>'Total Price List'!J629</f>
        <v>487.5</v>
      </c>
    </row>
    <row r="154" spans="1:10" s="850" customFormat="1" ht="12" customHeight="1" x14ac:dyDescent="0.25">
      <c r="A154" s="626" t="str">
        <f>'Total Price List'!A630</f>
        <v>G Data</v>
      </c>
      <c r="B154" s="619">
        <f>'Total Price List'!B630</f>
        <v>20160</v>
      </c>
      <c r="C154" s="618"/>
      <c r="D154" s="618" t="str">
        <f>'Total Price List'!D630</f>
        <v>Renewal EDU 1Y GD IS  -S</v>
      </c>
      <c r="E154" s="618" t="str">
        <f>'Total Price List'!E630</f>
        <v>Renewal EDU</v>
      </c>
      <c r="F154" s="619" t="str">
        <f>'Total Price List'!F630</f>
        <v>Renewal</v>
      </c>
      <c r="G154" s="618" t="str">
        <f>'Total Price List'!G630</f>
        <v>G Data InternetSecurity</v>
      </c>
      <c r="H154" s="618" t="str">
        <f>'Total Price List'!H630</f>
        <v>multi-user license renewal 1 year</v>
      </c>
      <c r="I154" s="624">
        <f>'Total Price List'!I630</f>
        <v>220</v>
      </c>
      <c r="J154" s="622">
        <f>'Total Price List'!J630</f>
        <v>220</v>
      </c>
    </row>
    <row r="155" spans="1:10" ht="12" customHeight="1" x14ac:dyDescent="0.25">
      <c r="A155" s="626" t="str">
        <f>'Total Price List'!A631</f>
        <v>G Data</v>
      </c>
      <c r="B155" s="619">
        <f>'Total Price List'!B631</f>
        <v>20170</v>
      </c>
      <c r="C155" s="618"/>
      <c r="D155" s="618" t="str">
        <f>'Total Price List'!D631</f>
        <v>Renewal EDU 2Y GD IS  -S</v>
      </c>
      <c r="E155" s="618" t="str">
        <f>'Total Price List'!E631</f>
        <v>Renewal EDU</v>
      </c>
      <c r="F155" s="619" t="str">
        <f>'Total Price List'!F631</f>
        <v>Renewal</v>
      </c>
      <c r="G155" s="618" t="str">
        <f>'Total Price List'!G631</f>
        <v>G Data InternetSecurity</v>
      </c>
      <c r="H155" s="618" t="str">
        <f>'Total Price List'!H631</f>
        <v>multi-user license renewal 2 years</v>
      </c>
      <c r="I155" s="624">
        <f>'Total Price List'!I631</f>
        <v>385</v>
      </c>
      <c r="J155" s="622">
        <f>'Total Price List'!J631</f>
        <v>385</v>
      </c>
    </row>
    <row r="156" spans="1:10" s="850" customFormat="1" ht="12" customHeight="1" x14ac:dyDescent="0.25">
      <c r="A156" s="626" t="str">
        <f>'Total Price List'!A632</f>
        <v>G Data</v>
      </c>
      <c r="B156" s="619">
        <f>'Total Price List'!B632</f>
        <v>20180</v>
      </c>
      <c r="C156" s="618"/>
      <c r="D156" s="618" t="str">
        <f>'Total Price List'!D632</f>
        <v>Renewal EDU 3Y GD IS  -S</v>
      </c>
      <c r="E156" s="618" t="str">
        <f>'Total Price List'!E632</f>
        <v>Renewal EDU</v>
      </c>
      <c r="F156" s="619" t="str">
        <f>'Total Price List'!F632</f>
        <v>Renewal</v>
      </c>
      <c r="G156" s="618" t="str">
        <f>'Total Price List'!G632</f>
        <v>G Data InternetSecurity</v>
      </c>
      <c r="H156" s="618" t="str">
        <f>'Total Price List'!H632</f>
        <v>multi-user license renewal 3 years</v>
      </c>
      <c r="I156" s="624">
        <f>'Total Price List'!I632</f>
        <v>550</v>
      </c>
      <c r="J156" s="622">
        <f>'Total Price List'!J632</f>
        <v>550</v>
      </c>
    </row>
    <row r="157" spans="1:10" s="850" customFormat="1" ht="12" customHeight="1" x14ac:dyDescent="0.25">
      <c r="A157" s="626" t="str">
        <f>'Total Price List'!A633</f>
        <v>G Data</v>
      </c>
      <c r="B157" s="619">
        <f>'Total Price List'!B633</f>
        <v>21760</v>
      </c>
      <c r="C157" s="618"/>
      <c r="D157" s="618" t="str">
        <f>'Total Price List'!D633</f>
        <v>Renewal EDU 1Y GD TP  -S</v>
      </c>
      <c r="E157" s="618" t="str">
        <f>'Total Price List'!E633</f>
        <v>Renewal EDU</v>
      </c>
      <c r="F157" s="619" t="str">
        <f>'Total Price List'!F633</f>
        <v>Renewal</v>
      </c>
      <c r="G157" s="618" t="str">
        <f>'Total Price List'!G633</f>
        <v>G Data TotalProtection</v>
      </c>
      <c r="H157" s="618" t="str">
        <f>'Total Price List'!H633</f>
        <v>multi-user license renewal 1 year</v>
      </c>
      <c r="I157" s="624">
        <f>'Total Price List'!I633</f>
        <v>245</v>
      </c>
      <c r="J157" s="622">
        <f>'Total Price List'!J633</f>
        <v>245</v>
      </c>
    </row>
    <row r="158" spans="1:10" s="850" customFormat="1" ht="12" customHeight="1" x14ac:dyDescent="0.25">
      <c r="A158" s="626" t="str">
        <f>'Total Price List'!A634</f>
        <v>G Data</v>
      </c>
      <c r="B158" s="619">
        <f>'Total Price List'!B634</f>
        <v>21770</v>
      </c>
      <c r="C158" s="618"/>
      <c r="D158" s="618" t="str">
        <f>'Total Price List'!D634</f>
        <v>Renewal EDU 2Y GD TP  -S</v>
      </c>
      <c r="E158" s="618" t="str">
        <f>'Total Price List'!E634</f>
        <v>Renewal EDU</v>
      </c>
      <c r="F158" s="619" t="str">
        <f>'Total Price List'!F634</f>
        <v>Renewal</v>
      </c>
      <c r="G158" s="618" t="str">
        <f>'Total Price List'!G634</f>
        <v>G Data TotalProtection</v>
      </c>
      <c r="H158" s="618" t="str">
        <f>'Total Price List'!H634</f>
        <v>multi-user license renewal 2 years</v>
      </c>
      <c r="I158" s="624">
        <f>'Total Price List'!I634</f>
        <v>428.75</v>
      </c>
      <c r="J158" s="622">
        <f>'Total Price List'!J634</f>
        <v>428.75</v>
      </c>
    </row>
    <row r="159" spans="1:10" s="850" customFormat="1" ht="12" customHeight="1" x14ac:dyDescent="0.25">
      <c r="A159" s="626" t="str">
        <f>'Total Price List'!A635</f>
        <v>G Data</v>
      </c>
      <c r="B159" s="619">
        <f>'Total Price List'!B635</f>
        <v>21780</v>
      </c>
      <c r="C159" s="618"/>
      <c r="D159" s="618" t="str">
        <f>'Total Price List'!D635</f>
        <v>Renewal EDU 3Y GD TP  -S</v>
      </c>
      <c r="E159" s="618" t="str">
        <f>'Total Price List'!E635</f>
        <v>Renewal EDU</v>
      </c>
      <c r="F159" s="619" t="str">
        <f>'Total Price List'!F635</f>
        <v>Renewal</v>
      </c>
      <c r="G159" s="618" t="str">
        <f>'Total Price List'!G635</f>
        <v>G Data TotalProtection</v>
      </c>
      <c r="H159" s="618" t="str">
        <f>'Total Price List'!H635</f>
        <v>multi-user license renewal 3 years</v>
      </c>
      <c r="I159" s="624">
        <f>'Total Price List'!I635</f>
        <v>612.5</v>
      </c>
      <c r="J159" s="622">
        <f>'Total Price List'!J635</f>
        <v>612.5</v>
      </c>
    </row>
    <row r="160" spans="1:10" s="850" customFormat="1" ht="12" customHeight="1" x14ac:dyDescent="0.25">
      <c r="A160" s="626" t="str">
        <f>'Total Price List'!A636</f>
        <v>G Data</v>
      </c>
      <c r="B160" s="619">
        <f>'Total Price List'!B636</f>
        <v>20660</v>
      </c>
      <c r="C160" s="618"/>
      <c r="D160" s="618" t="str">
        <f>'Total Price List'!D636</f>
        <v>Renewal EDU 1Y GD MS  -S</v>
      </c>
      <c r="E160" s="618" t="str">
        <f>'Total Price List'!E636</f>
        <v>Renewal EDU</v>
      </c>
      <c r="F160" s="619" t="str">
        <f>'Total Price List'!F636</f>
        <v>Renewal</v>
      </c>
      <c r="G160" s="618" t="str">
        <f>'Total Price List'!G636</f>
        <v xml:space="preserve">G Data MailSecurity </v>
      </c>
      <c r="H160" s="618" t="str">
        <f>'Total Price List'!H636</f>
        <v>Mail gateway license renewal government 1 year</v>
      </c>
      <c r="I160" s="624">
        <f>'Total Price List'!I636</f>
        <v>195</v>
      </c>
      <c r="J160" s="622">
        <f>'Total Price List'!J636</f>
        <v>195</v>
      </c>
    </row>
    <row r="161" spans="1:10" s="850" customFormat="1" ht="12" customHeight="1" x14ac:dyDescent="0.25">
      <c r="A161" s="626" t="str">
        <f>'Total Price List'!A637</f>
        <v>G Data</v>
      </c>
      <c r="B161" s="619">
        <f>'Total Price List'!B637</f>
        <v>20670</v>
      </c>
      <c r="C161" s="618"/>
      <c r="D161" s="618" t="str">
        <f>'Total Price List'!D637</f>
        <v>Renewal EDU 2Y GD MS  -S</v>
      </c>
      <c r="E161" s="618" t="str">
        <f>'Total Price List'!E637</f>
        <v>Renewal EDU</v>
      </c>
      <c r="F161" s="619" t="str">
        <f>'Total Price List'!F637</f>
        <v>Renewal</v>
      </c>
      <c r="G161" s="618" t="str">
        <f>'Total Price List'!G637</f>
        <v xml:space="preserve">G Data MailSecurity </v>
      </c>
      <c r="H161" s="618" t="str">
        <f>'Total Price List'!H637</f>
        <v>Mail gateway license renewal government 2 years</v>
      </c>
      <c r="I161" s="624">
        <f>'Total Price List'!I637</f>
        <v>341.25</v>
      </c>
      <c r="J161" s="622">
        <f>'Total Price List'!J637</f>
        <v>341.25</v>
      </c>
    </row>
    <row r="162" spans="1:10" s="850" customFormat="1" ht="12" customHeight="1" thickBot="1" x14ac:dyDescent="0.3">
      <c r="A162" s="627" t="str">
        <f>'Total Price List'!A638</f>
        <v>G Data</v>
      </c>
      <c r="B162" s="620">
        <f>'Total Price List'!B638</f>
        <v>20680</v>
      </c>
      <c r="C162" s="621"/>
      <c r="D162" s="621" t="str">
        <f>'Total Price List'!D638</f>
        <v>Renewal EDU 3Y GD MS  -S</v>
      </c>
      <c r="E162" s="621" t="str">
        <f>'Total Price List'!E638</f>
        <v>Renewal EDU</v>
      </c>
      <c r="F162" s="620" t="str">
        <f>'Total Price List'!F638</f>
        <v>Renewal</v>
      </c>
      <c r="G162" s="621" t="str">
        <f>'Total Price List'!G638</f>
        <v xml:space="preserve">G Data MailSecurity </v>
      </c>
      <c r="H162" s="621" t="str">
        <f>'Total Price List'!H638</f>
        <v>Mail gateway license renewal government 3 years</v>
      </c>
      <c r="I162" s="625">
        <f>'Total Price List'!I638</f>
        <v>487.5</v>
      </c>
      <c r="J162" s="623">
        <f>'Total Price List'!J638</f>
        <v>487.5</v>
      </c>
    </row>
    <row r="163" spans="1:10" s="850" customFormat="1" ht="12" customHeight="1" thickBot="1" x14ac:dyDescent="0.3">
      <c r="A163" s="852"/>
      <c r="B163" s="852"/>
      <c r="C163" s="852"/>
      <c r="D163" s="852"/>
      <c r="E163" s="852"/>
      <c r="F163" s="852"/>
      <c r="G163" s="852"/>
      <c r="H163" s="852"/>
      <c r="I163" s="852"/>
      <c r="J163" s="852"/>
    </row>
    <row r="164" spans="1:10" s="854" customFormat="1" ht="12" customHeight="1" x14ac:dyDescent="0.2">
      <c r="A164" s="632" t="s">
        <v>934</v>
      </c>
      <c r="B164" s="633"/>
      <c r="C164" s="633"/>
      <c r="D164" s="633"/>
      <c r="E164" s="633"/>
      <c r="F164" s="634"/>
      <c r="G164" s="633"/>
      <c r="H164" s="633"/>
      <c r="I164" s="633"/>
      <c r="J164" s="635"/>
    </row>
    <row r="165" spans="1:10" s="854" customFormat="1" ht="12" customHeight="1" x14ac:dyDescent="0.2">
      <c r="A165" s="636" t="s">
        <v>941</v>
      </c>
      <c r="B165" s="637"/>
      <c r="C165" s="637"/>
      <c r="D165" s="637"/>
      <c r="E165" s="637"/>
      <c r="F165" s="638"/>
      <c r="G165" s="637"/>
      <c r="H165" s="637"/>
      <c r="I165" s="637"/>
      <c r="J165" s="639"/>
    </row>
    <row r="166" spans="1:10" s="854" customFormat="1" ht="12" customHeight="1" x14ac:dyDescent="0.2">
      <c r="A166" s="636" t="s">
        <v>943</v>
      </c>
      <c r="B166" s="640"/>
      <c r="C166" s="640"/>
      <c r="D166" s="640"/>
      <c r="E166" s="640"/>
      <c r="F166" s="640"/>
      <c r="G166" s="640"/>
      <c r="H166" s="640"/>
      <c r="I166" s="640"/>
      <c r="J166" s="641"/>
    </row>
    <row r="167" spans="1:10" s="854" customFormat="1" ht="12" customHeight="1" x14ac:dyDescent="0.2">
      <c r="A167" s="636" t="s">
        <v>944</v>
      </c>
      <c r="B167" s="640"/>
      <c r="C167" s="640"/>
      <c r="D167" s="640"/>
      <c r="E167" s="640"/>
      <c r="F167" s="640"/>
      <c r="G167" s="640"/>
      <c r="H167" s="640"/>
      <c r="I167" s="640"/>
      <c r="J167" s="641"/>
    </row>
    <row r="168" spans="1:10" s="854" customFormat="1" ht="12" customHeight="1" thickBot="1" x14ac:dyDescent="0.25">
      <c r="A168" s="642" t="s">
        <v>945</v>
      </c>
      <c r="B168" s="643"/>
      <c r="C168" s="643"/>
      <c r="D168" s="643"/>
      <c r="E168" s="643"/>
      <c r="F168" s="643"/>
      <c r="G168" s="643"/>
      <c r="H168" s="643"/>
      <c r="I168" s="643"/>
      <c r="J168" s="644"/>
    </row>
    <row r="169" spans="1:10" ht="12" customHeight="1" x14ac:dyDescent="0.25"/>
    <row r="170" spans="1:10" ht="12" customHeight="1" x14ac:dyDescent="0.25"/>
    <row r="171" spans="1:10" ht="12" customHeight="1" x14ac:dyDescent="0.25"/>
    <row r="172" spans="1:10" ht="12" customHeight="1" x14ac:dyDescent="0.25"/>
    <row r="173" spans="1:10" ht="12" customHeight="1" x14ac:dyDescent="0.25"/>
    <row r="174" spans="1:10" ht="12" customHeight="1" x14ac:dyDescent="0.25"/>
    <row r="175" spans="1:10" ht="12" customHeight="1" x14ac:dyDescent="0.25"/>
    <row r="176" spans="1:10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</sheetData>
  <sheetProtection algorithmName="SHA-512" hashValue="yDQqsygMMFD+Gbyi04MA0tmfS/r2CYUecq/GyHrdTQxPv/WvZ+WC3gpr1GCNHmIhmf+Mg/GAAYBRH8pUUX4cyw==" saltValue="hHNS7HZPtMoNbgA8CzsKIA==" spinCount="100000" sheet="1" objects="1" scenarios="1" formatColumns="0" sort="0" autoFilter="0"/>
  <autoFilter ref="A3:I162"/>
  <mergeCells count="2">
    <mergeCell ref="A1:E1"/>
    <mergeCell ref="F1:G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tabColor rgb="FFFF5050"/>
  </sheetPr>
  <dimension ref="A1:S135"/>
  <sheetViews>
    <sheetView showGridLines="0" workbookViewId="0">
      <pane ySplit="4" topLeftCell="A5" activePane="bottomLeft" state="frozenSplit"/>
      <selection pane="bottomLeft" activeCell="A24" sqref="A24:J24"/>
    </sheetView>
  </sheetViews>
  <sheetFormatPr baseColWidth="10" defaultColWidth="11.5703125" defaultRowHeight="15" x14ac:dyDescent="0.25"/>
  <cols>
    <col min="1" max="1" width="2.28515625" style="160" customWidth="1"/>
    <col min="2" max="2" width="8" style="160" bestFit="1" customWidth="1"/>
    <col min="3" max="5" width="12.28515625" style="160" bestFit="1" customWidth="1"/>
    <col min="6" max="6" width="1.7109375" style="160" customWidth="1"/>
    <col min="7" max="9" width="12.28515625" style="160" bestFit="1" customWidth="1"/>
    <col min="10" max="10" width="2.28515625" style="160" customWidth="1"/>
    <col min="11" max="11" width="1" style="200" customWidth="1"/>
    <col min="12" max="12" width="3.7109375" style="160" customWidth="1"/>
    <col min="13" max="13" width="8.5703125" style="160" customWidth="1"/>
    <col min="14" max="14" width="6.42578125" style="286" customWidth="1"/>
    <col min="15" max="15" width="38.42578125" style="286" bestFit="1" customWidth="1"/>
    <col min="16" max="16" width="10" style="160" customWidth="1"/>
    <col min="17" max="17" width="10.7109375" style="160" customWidth="1"/>
    <col min="18" max="18" width="13" style="160" customWidth="1"/>
    <col min="19" max="19" width="10.7109375" style="160" customWidth="1"/>
    <col min="20" max="20" width="4.28515625" style="160" customWidth="1"/>
    <col min="21" max="16384" width="11.5703125" style="160"/>
  </cols>
  <sheetData>
    <row r="1" spans="1:19" s="147" customFormat="1" ht="4.9000000000000004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282"/>
      <c r="O1" s="282"/>
      <c r="P1" s="145" t="b">
        <v>0</v>
      </c>
      <c r="Q1" s="145" t="s">
        <v>825</v>
      </c>
      <c r="R1" s="146"/>
      <c r="S1" s="146"/>
    </row>
    <row r="2" spans="1:19" s="147" customFormat="1" ht="14.45" customHeight="1" x14ac:dyDescent="0.25">
      <c r="A2" s="886" t="s">
        <v>928</v>
      </c>
      <c r="B2" s="887"/>
      <c r="C2" s="887"/>
      <c r="D2" s="888"/>
      <c r="E2" s="889"/>
      <c r="F2" s="143"/>
      <c r="G2" s="143"/>
      <c r="H2" s="143"/>
      <c r="I2" s="143"/>
      <c r="J2" s="334"/>
      <c r="K2" s="334"/>
      <c r="L2" s="898"/>
      <c r="M2" s="898"/>
      <c r="N2" s="898"/>
      <c r="O2" s="898"/>
      <c r="P2" s="145"/>
      <c r="Q2" s="145"/>
      <c r="R2" s="148"/>
      <c r="S2" s="148"/>
    </row>
    <row r="3" spans="1:19" s="147" customFormat="1" ht="15" customHeight="1" thickBot="1" x14ac:dyDescent="0.3">
      <c r="A3" s="887"/>
      <c r="B3" s="887"/>
      <c r="C3" s="887"/>
      <c r="D3" s="890"/>
      <c r="E3" s="891"/>
      <c r="F3" s="143"/>
      <c r="G3" s="143"/>
      <c r="H3" s="143"/>
      <c r="I3" s="143"/>
      <c r="J3" s="143"/>
      <c r="K3" s="143"/>
      <c r="L3" s="143"/>
      <c r="M3" s="143"/>
      <c r="N3" s="282"/>
      <c r="O3" s="282"/>
      <c r="P3" s="145"/>
      <c r="Q3" s="145"/>
      <c r="R3" s="148"/>
      <c r="S3" s="148"/>
    </row>
    <row r="4" spans="1:19" s="147" customFormat="1" ht="12.6" customHeight="1" x14ac:dyDescent="0.4">
      <c r="A4" s="143"/>
      <c r="B4" s="144"/>
      <c r="C4" s="143"/>
      <c r="D4" s="149"/>
      <c r="E4" s="149"/>
      <c r="F4" s="143"/>
      <c r="G4" s="143"/>
      <c r="H4" s="143"/>
      <c r="I4" s="143"/>
      <c r="J4" s="143"/>
      <c r="K4" s="143"/>
      <c r="L4" s="150"/>
      <c r="M4" s="150"/>
      <c r="N4" s="283"/>
      <c r="O4" s="283"/>
      <c r="P4" s="145"/>
      <c r="Q4" s="145">
        <v>2</v>
      </c>
      <c r="R4" s="148"/>
      <c r="S4" s="148"/>
    </row>
    <row r="5" spans="1:19" s="154" customFormat="1" ht="7.15" customHeight="1" x14ac:dyDescent="0.25">
      <c r="A5" s="151"/>
      <c r="B5" s="152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284"/>
      <c r="O5" s="284"/>
      <c r="P5" s="153"/>
      <c r="Q5" s="153"/>
      <c r="R5" s="151"/>
      <c r="S5" s="151"/>
    </row>
    <row r="6" spans="1:19" ht="14.45" customHeight="1" x14ac:dyDescent="0.25">
      <c r="A6" s="892" t="s">
        <v>18</v>
      </c>
      <c r="B6" s="893"/>
      <c r="C6" s="893"/>
      <c r="D6" s="893"/>
      <c r="E6" s="893"/>
      <c r="F6" s="893"/>
      <c r="G6" s="893"/>
      <c r="H6" s="893"/>
      <c r="I6" s="893"/>
      <c r="J6" s="894"/>
      <c r="K6" s="155"/>
      <c r="L6" s="884" t="s">
        <v>812</v>
      </c>
      <c r="M6" s="885"/>
      <c r="N6" s="156" t="s">
        <v>815</v>
      </c>
      <c r="O6" s="158" t="s">
        <v>824</v>
      </c>
      <c r="P6" s="156" t="s">
        <v>826</v>
      </c>
      <c r="Q6" s="159" t="s">
        <v>818</v>
      </c>
      <c r="R6" s="159" t="s">
        <v>820</v>
      </c>
      <c r="S6" s="200"/>
    </row>
    <row r="7" spans="1:19" ht="14.45" customHeight="1" x14ac:dyDescent="0.25">
      <c r="A7" s="161"/>
      <c r="B7" s="162"/>
      <c r="C7" s="163" t="s">
        <v>806</v>
      </c>
      <c r="D7" s="164"/>
      <c r="E7" s="164"/>
      <c r="F7" s="164"/>
      <c r="G7" s="163" t="s">
        <v>810</v>
      </c>
      <c r="H7" s="164"/>
      <c r="I7" s="198"/>
      <c r="J7" s="165"/>
      <c r="K7" s="166"/>
      <c r="L7" s="167" t="s">
        <v>814</v>
      </c>
      <c r="M7" s="168" t="s">
        <v>813</v>
      </c>
      <c r="N7" s="169" t="s">
        <v>816</v>
      </c>
      <c r="O7" s="171" t="s">
        <v>18</v>
      </c>
      <c r="P7" s="169" t="s">
        <v>817</v>
      </c>
      <c r="Q7" s="172" t="s">
        <v>819</v>
      </c>
      <c r="R7" s="172" t="s">
        <v>819</v>
      </c>
      <c r="S7" s="200"/>
    </row>
    <row r="8" spans="1:19" ht="14.45" customHeight="1" x14ac:dyDescent="0.25">
      <c r="A8" s="173"/>
      <c r="B8" s="174" t="s">
        <v>805</v>
      </c>
      <c r="C8" s="174" t="s">
        <v>807</v>
      </c>
      <c r="D8" s="174" t="s">
        <v>808</v>
      </c>
      <c r="E8" s="174" t="s">
        <v>809</v>
      </c>
      <c r="F8" s="198"/>
      <c r="G8" s="190" t="s">
        <v>807</v>
      </c>
      <c r="H8" s="190" t="s">
        <v>808</v>
      </c>
      <c r="I8" s="190" t="s">
        <v>809</v>
      </c>
      <c r="J8" s="175"/>
      <c r="K8" s="151"/>
      <c r="L8" s="176">
        <v>1</v>
      </c>
      <c r="M8" s="333">
        <f>$D$2</f>
        <v>0</v>
      </c>
      <c r="N8" s="177">
        <f>IF($P$1=TRUE,20219,IF($D$2&gt;999,20218,IF($D$2&gt;499,20217,IF($D$2&gt;249,20216,IF($D$2&gt;99,20215,IF($D$2&gt;49,20214,IF($D$2&gt;24,20213,IF($D$2&gt;9,20212,IF($D$2&gt;4,20211,0)))))))))</f>
        <v>0</v>
      </c>
      <c r="O8" s="519" t="s">
        <v>18</v>
      </c>
      <c r="P8" s="178">
        <f>IF($P$1=TRUE,C17,IF($D$2&gt;999,C16,IF($D$2&gt;499,C15,IF($D$2&gt;249,C14,IF($D$2&gt;99,C13,IF($D$2&gt;49,C12,IF($D$2&gt;24,C11,IF($D$2&gt;9,C10,IF($D$2&gt;4,C9,0)))))))))</f>
        <v>0</v>
      </c>
      <c r="Q8" s="179">
        <f>IF($P$1=TRUE,$D$2*C17,IF($D$2&gt;999,$D$2*C16,IF($D$2&gt;499,$D$2*C15,IF($D$2&gt;249,$D$2*C14,IF($D$2&gt;99,$D$2*C13,IF($D$2&gt;49,$D$2*C12,IF($D$2&gt;24,$D$2*C11,IF($D$2&gt;9,$D$2*C10,IF($D$2&gt;4,$D$2*C9,0)))))))))</f>
        <v>0</v>
      </c>
      <c r="R8" s="179">
        <f>IF('Total Price List'!$C$4&gt;0,(Q8-(Q8*'Total Price List'!$C$4)),Q8)</f>
        <v>0</v>
      </c>
      <c r="S8" s="562"/>
    </row>
    <row r="9" spans="1:19" ht="14.45" customHeight="1" x14ac:dyDescent="0.25">
      <c r="A9" s="161"/>
      <c r="B9" s="180">
        <v>5</v>
      </c>
      <c r="C9" s="181">
        <f>VLOOKUP(20211,'Total Price List'!$B$8:$J$1194,8,0)</f>
        <v>37.5</v>
      </c>
      <c r="D9" s="182">
        <f>VLOOKUP(20221,'Total Price List'!$B$8:$J$1194,8,0)</f>
        <v>52.5</v>
      </c>
      <c r="E9" s="182">
        <f>VLOOKUP(20231,'Total Price List'!$B$8:$J$1194,8,0)</f>
        <v>66.75</v>
      </c>
      <c r="F9" s="198"/>
      <c r="G9" s="182">
        <f>VLOOKUP(20261,'Total Price List'!$B$8:$J$1194,8,0)</f>
        <v>20</v>
      </c>
      <c r="H9" s="182">
        <f>VLOOKUP(20271,'Total Price List'!$B$8:$J$1194,8,0)</f>
        <v>35</v>
      </c>
      <c r="I9" s="182">
        <f>VLOOKUP(20281,'Total Price List'!$B$8:$J$1194,8,0)</f>
        <v>50</v>
      </c>
      <c r="J9" s="175"/>
      <c r="K9" s="151"/>
      <c r="L9" s="183"/>
      <c r="M9" s="184"/>
      <c r="N9" s="281"/>
      <c r="O9" s="184" t="s">
        <v>821</v>
      </c>
      <c r="P9" s="184"/>
      <c r="Q9" s="185"/>
      <c r="R9" s="185"/>
      <c r="S9" s="562"/>
    </row>
    <row r="10" spans="1:19" ht="14.45" customHeight="1" x14ac:dyDescent="0.25">
      <c r="A10" s="161"/>
      <c r="B10" s="180">
        <v>10</v>
      </c>
      <c r="C10" s="181">
        <f>VLOOKUP(20212,'Total Price List'!$B$8:$J$1194,8,0)</f>
        <v>31.5</v>
      </c>
      <c r="D10" s="181">
        <f>VLOOKUP(20222,'Total Price List'!$B$8:$J$1194,8,0)</f>
        <v>46.5</v>
      </c>
      <c r="E10" s="181">
        <f>VLOOKUP(20232,'Total Price List'!$B$8:$J$1194,8,0)</f>
        <v>59.25</v>
      </c>
      <c r="F10" s="198"/>
      <c r="G10" s="182">
        <f>VLOOKUP(20262,'Total Price List'!$B$8:$J$1194,8,0)</f>
        <v>19.600000000000001</v>
      </c>
      <c r="H10" s="182">
        <f>VLOOKUP(20272,'Total Price List'!$B$8:$J$1194,8,0)</f>
        <v>34.300000000000004</v>
      </c>
      <c r="I10" s="182">
        <f>VLOOKUP(20282,'Total Price List'!$B$8:$J$1194,8,0)</f>
        <v>49</v>
      </c>
      <c r="J10" s="175"/>
      <c r="K10" s="151"/>
      <c r="L10" s="176">
        <v>2</v>
      </c>
      <c r="M10" s="333">
        <f>$D$2</f>
        <v>0</v>
      </c>
      <c r="N10" s="177">
        <f>IF($P$1=TRUE,20229,IF($D$2&gt;999,20228,IF($D$2&gt;499,20227,IF($D$2&gt;249,20226,IF($D$2&gt;99,20225,IF($D$2&gt;49,20224,IF($D$2&gt;24,20223,IF($D$2&gt;9,20222,IF($D$2&gt;4,20221,0)))))))))</f>
        <v>0</v>
      </c>
      <c r="O10" s="519" t="s">
        <v>18</v>
      </c>
      <c r="P10" s="178">
        <f>IF($P$1=TRUE,D17,IF($D$2&gt;999,D16,IF($D$2&gt;499,D15,IF($D$2&gt;249,D14,IF($D$2&gt;99,D13,IF($D$2&gt;49,D12,IF($D$2&gt;24,D11,IF($D$2&gt;9,D10,IF($D$2&gt;4,D9,0)))))))))</f>
        <v>0</v>
      </c>
      <c r="Q10" s="179">
        <f>IF($P$1=TRUE,$D$2*D17,IF($D$2&gt;999,$D$2*D16,IF($D$2&gt;499,$D$2*D15,IF($D$2&gt;249,$D$2*D14,IF($D$2&gt;99,$D$2*D13,IF($D$2&gt;49,$D$2*D12,IF($D$2&gt;24,$D$2*D11,IF($D$2&gt;9,$D$2*D10,IF($D$2&gt;4,$D$2*D9,0)))))))))</f>
        <v>0</v>
      </c>
      <c r="R10" s="179">
        <f>IF('Total Price List'!$C$4&gt;0,(Q10-(Q10*'Total Price List'!$C$4)),Q10)</f>
        <v>0</v>
      </c>
      <c r="S10" s="562"/>
    </row>
    <row r="11" spans="1:19" ht="14.45" customHeight="1" x14ac:dyDescent="0.25">
      <c r="A11" s="173"/>
      <c r="B11" s="180">
        <v>25</v>
      </c>
      <c r="C11" s="181">
        <f>VLOOKUP(20213,'Total Price List'!$B$8:$J$1194,8,0)</f>
        <v>25.125</v>
      </c>
      <c r="D11" s="181">
        <f>VLOOKUP(20223,'Total Price List'!$B$8:$J$1194,8,0)</f>
        <v>36</v>
      </c>
      <c r="E11" s="181">
        <f>VLOOKUP(20233,'Total Price List'!$B$8:$J$1194,8,0)</f>
        <v>51</v>
      </c>
      <c r="F11" s="198"/>
      <c r="G11" s="182">
        <f>VLOOKUP(20263,'Total Price List'!$B$8:$J$1194,8,0)</f>
        <v>16.48</v>
      </c>
      <c r="H11" s="182">
        <f>VLOOKUP(20273,'Total Price List'!$B$8:$J$1194,8,0)</f>
        <v>28.840000000000003</v>
      </c>
      <c r="I11" s="182">
        <f>VLOOKUP(20283,'Total Price List'!$B$8:$J$1194,8,0)</f>
        <v>41.2</v>
      </c>
      <c r="J11" s="175"/>
      <c r="K11" s="151"/>
      <c r="L11" s="183"/>
      <c r="M11" s="184"/>
      <c r="N11" s="281"/>
      <c r="O11" s="184" t="s">
        <v>822</v>
      </c>
      <c r="P11" s="184"/>
      <c r="Q11" s="185"/>
      <c r="R11" s="185"/>
      <c r="S11" s="562"/>
    </row>
    <row r="12" spans="1:19" ht="14.45" customHeight="1" x14ac:dyDescent="0.25">
      <c r="A12" s="161"/>
      <c r="B12" s="180">
        <v>50</v>
      </c>
      <c r="C12" s="181">
        <f>VLOOKUP(20214,'Total Price List'!$B$8:$J$1194,8,0)</f>
        <v>19.5</v>
      </c>
      <c r="D12" s="181">
        <f>VLOOKUP(20224,'Total Price List'!$B$8:$J$1194,8,0)</f>
        <v>30</v>
      </c>
      <c r="E12" s="181">
        <f>VLOOKUP(20234,'Total Price List'!$B$8:$J$1194,8,0)</f>
        <v>43.5</v>
      </c>
      <c r="F12" s="192"/>
      <c r="G12" s="182">
        <f>VLOOKUP(20264,'Total Price List'!$B$8:$J$1194,8,0)</f>
        <v>15.440000000000001</v>
      </c>
      <c r="H12" s="182">
        <f>VLOOKUP(20274,'Total Price List'!$B$8:$J$1194,8,0)</f>
        <v>27.02</v>
      </c>
      <c r="I12" s="182">
        <f>VLOOKUP(20284,'Total Price List'!$B$8:$J$1194,8,0)</f>
        <v>38.6</v>
      </c>
      <c r="J12" s="273"/>
      <c r="K12" s="186"/>
      <c r="L12" s="176">
        <v>3</v>
      </c>
      <c r="M12" s="333">
        <f>$D$2</f>
        <v>0</v>
      </c>
      <c r="N12" s="177">
        <f>IF($P$1=TRUE,20239,IF($D$2&gt;999,20238,IF($D$2&gt;499,20237,IF($D$2&gt;249,20236,IF($D$2&gt;99,20235,IF($D$2&gt;49,20234,IF($D$2&gt;24,20233,IF($D$2&gt;9,20232,IF($D$2&gt;4,20231,0)))))))))</f>
        <v>0</v>
      </c>
      <c r="O12" s="519" t="s">
        <v>18</v>
      </c>
      <c r="P12" s="178">
        <f>IF($P$1=TRUE,E17,IF($D$2&gt;999,E16,IF($D$2&gt;499,E15,IF($D$2&gt;249,E14,IF($D$2&gt;99,E13,IF($D$2&gt;49,E12,IF($D$2&gt;24,E11,IF($D$2&gt;9,E10,IF($D$2&gt;4,E9,0)))))))))</f>
        <v>0</v>
      </c>
      <c r="Q12" s="179">
        <f>IF($P$1=TRUE,$D$2*E17,IF($D$2&gt;999,$D$2*E16,IF($D$2&gt;499,$D$2*E15,IF($D$2&gt;249,$D$2*E14,IF($D$2&gt;99,$D$2*E13,IF($D$2&gt;49,$D$2*E12,IF($D$2&gt;24,$D$2*E11,IF($D$2&gt;9,$D$2*E10,IF($D$2&gt;4,$D$2*E9,0)))))))))</f>
        <v>0</v>
      </c>
      <c r="R12" s="179">
        <f>IF('Total Price List'!$C$4&gt;0,(Q12-(Q12*'Total Price List'!$C$4)),Q12)</f>
        <v>0</v>
      </c>
      <c r="S12" s="562"/>
    </row>
    <row r="13" spans="1:19" ht="14.45" customHeight="1" x14ac:dyDescent="0.25">
      <c r="A13" s="161"/>
      <c r="B13" s="180">
        <v>100</v>
      </c>
      <c r="C13" s="181">
        <f>VLOOKUP(20215,'Total Price List'!$B$8:$J$1194,8,0)</f>
        <v>17.25</v>
      </c>
      <c r="D13" s="181">
        <f>VLOOKUP(20225,'Total Price List'!$B$8:$J$1194,8,0)</f>
        <v>26.25</v>
      </c>
      <c r="E13" s="181">
        <f>VLOOKUP(20235,'Total Price List'!$B$8:$J$1194,8,0)</f>
        <v>36.75</v>
      </c>
      <c r="F13" s="192"/>
      <c r="G13" s="182">
        <f>VLOOKUP(20265,'Total Price List'!$B$8:$J$1194,8,0)</f>
        <v>12.520000000000001</v>
      </c>
      <c r="H13" s="182">
        <f>VLOOKUP(20275,'Total Price List'!$B$8:$J$1194,8,0)</f>
        <v>21.91</v>
      </c>
      <c r="I13" s="182">
        <f>VLOOKUP(20285,'Total Price List'!$B$8:$J$1194,8,0)</f>
        <v>31.3</v>
      </c>
      <c r="J13" s="273"/>
      <c r="K13" s="151"/>
      <c r="L13" s="187"/>
      <c r="M13" s="188"/>
      <c r="N13" s="285"/>
      <c r="O13" s="188" t="s">
        <v>823</v>
      </c>
      <c r="P13" s="188"/>
      <c r="Q13" s="189"/>
      <c r="R13" s="189"/>
      <c r="S13" s="562"/>
    </row>
    <row r="14" spans="1:19" ht="14.45" customHeight="1" x14ac:dyDescent="0.25">
      <c r="A14" s="161"/>
      <c r="B14" s="180">
        <v>250</v>
      </c>
      <c r="C14" s="181">
        <f>VLOOKUP(20216,'Total Price List'!$B$8:$J$1194,8,0)</f>
        <v>15</v>
      </c>
      <c r="D14" s="181">
        <f>VLOOKUP(20226,'Total Price List'!$B$8:$J$1194,8,0)</f>
        <v>22.5</v>
      </c>
      <c r="E14" s="181">
        <f>VLOOKUP(20236,'Total Price List'!$B$8:$J$1194,8,0)</f>
        <v>30.75</v>
      </c>
      <c r="F14" s="192"/>
      <c r="G14" s="182">
        <f>VLOOKUP(20266,'Total Price List'!$B$8:$J$1194,8,0)</f>
        <v>9.8079999999999998</v>
      </c>
      <c r="H14" s="182">
        <f>VLOOKUP(20276,'Total Price List'!$B$8:$J$1194,8,0)</f>
        <v>17.163999999999998</v>
      </c>
      <c r="I14" s="182">
        <f>VLOOKUP(20286,'Total Price List'!$B$8:$J$1194,8,0)</f>
        <v>24.52</v>
      </c>
      <c r="J14" s="273"/>
      <c r="K14" s="186"/>
      <c r="L14" s="184"/>
      <c r="M14" s="184"/>
      <c r="N14" s="281"/>
      <c r="O14" s="184"/>
      <c r="P14" s="184"/>
      <c r="Q14" s="184"/>
      <c r="R14" s="184"/>
      <c r="S14" s="200"/>
    </row>
    <row r="15" spans="1:19" ht="14.45" customHeight="1" x14ac:dyDescent="0.25">
      <c r="A15" s="161"/>
      <c r="B15" s="180">
        <v>500</v>
      </c>
      <c r="C15" s="181">
        <f>VLOOKUP(20217,'Total Price List'!$B$8:$J$1194,8,0)</f>
        <v>13.5</v>
      </c>
      <c r="D15" s="181">
        <f>VLOOKUP(20227,'Total Price List'!$B$8:$J$1194,8,0)</f>
        <v>20.25</v>
      </c>
      <c r="E15" s="181">
        <f>VLOOKUP(20237,'Total Price List'!$B$8:$J$1194,8,0)</f>
        <v>27.75</v>
      </c>
      <c r="F15" s="192"/>
      <c r="G15" s="182">
        <f>VLOOKUP(20267,'Total Price List'!$B$8:$J$1194,8,0)</f>
        <v>8.5040000000000013</v>
      </c>
      <c r="H15" s="182">
        <f>VLOOKUP(20277,'Total Price List'!$B$8:$J$1194,8,0)</f>
        <v>14.882000000000003</v>
      </c>
      <c r="I15" s="182">
        <f>VLOOKUP(20287,'Total Price List'!$B$8:$J$1194,8,0)</f>
        <v>21.260000000000005</v>
      </c>
      <c r="J15" s="273"/>
      <c r="K15" s="151"/>
      <c r="L15" s="884" t="s">
        <v>810</v>
      </c>
      <c r="M15" s="885"/>
      <c r="N15" s="156" t="s">
        <v>815</v>
      </c>
      <c r="O15" s="158" t="s">
        <v>824</v>
      </c>
      <c r="P15" s="156" t="s">
        <v>826</v>
      </c>
      <c r="Q15" s="159" t="s">
        <v>818</v>
      </c>
      <c r="R15" s="159" t="s">
        <v>820</v>
      </c>
      <c r="S15" s="200"/>
    </row>
    <row r="16" spans="1:19" ht="14.45" customHeight="1" x14ac:dyDescent="0.25">
      <c r="A16" s="161"/>
      <c r="B16" s="180">
        <v>1000</v>
      </c>
      <c r="C16" s="181">
        <f>VLOOKUP(20218,'Total Price List'!$B$8:$J$1194,8,0)</f>
        <v>12</v>
      </c>
      <c r="D16" s="181">
        <f>VLOOKUP(20228,'Total Price List'!$B$8:$J$1194,8,0)</f>
        <v>18.75</v>
      </c>
      <c r="E16" s="181">
        <f>VLOOKUP(20238,'Total Price List'!$B$8:$J$1194,8,0)</f>
        <v>24.75</v>
      </c>
      <c r="F16" s="192"/>
      <c r="G16" s="182">
        <f>VLOOKUP(20268,'Total Price List'!$B$8:$J$1194,8,0)</f>
        <v>7.28</v>
      </c>
      <c r="H16" s="182">
        <f>VLOOKUP(20278,'Total Price List'!$B$8:$J$1194,8,0)</f>
        <v>13.52</v>
      </c>
      <c r="I16" s="182">
        <f>VLOOKUP(20288,'Total Price List'!$B$8:$J$1194,8,0)</f>
        <v>18.2</v>
      </c>
      <c r="J16" s="273"/>
      <c r="K16" s="197"/>
      <c r="L16" s="167" t="s">
        <v>814</v>
      </c>
      <c r="M16" s="168" t="s">
        <v>813</v>
      </c>
      <c r="N16" s="169" t="s">
        <v>816</v>
      </c>
      <c r="O16" s="171" t="s">
        <v>18</v>
      </c>
      <c r="P16" s="169" t="s">
        <v>817</v>
      </c>
      <c r="Q16" s="172" t="s">
        <v>819</v>
      </c>
      <c r="R16" s="172" t="s">
        <v>819</v>
      </c>
      <c r="S16" s="200"/>
    </row>
    <row r="17" spans="1:19" ht="14.45" customHeight="1" x14ac:dyDescent="0.25">
      <c r="A17" s="173"/>
      <c r="B17" s="190" t="s">
        <v>827</v>
      </c>
      <c r="C17" s="181">
        <f>VLOOKUP(20219,'Total Price List'!$B$8:$J$1194,8,0)</f>
        <v>11</v>
      </c>
      <c r="D17" s="181">
        <f>VLOOKUP(20229,'Total Price List'!$B$8:$J$1194,8,0)</f>
        <v>18</v>
      </c>
      <c r="E17" s="181">
        <f>VLOOKUP(20239,'Total Price List'!$B$8:$J$1194,8,0)</f>
        <v>25</v>
      </c>
      <c r="F17" s="192"/>
      <c r="G17" s="182">
        <f>VLOOKUP(20269,'Total Price List'!$B$8:$J$1194,8,0)</f>
        <v>6</v>
      </c>
      <c r="H17" s="182">
        <f>VLOOKUP(20279,'Total Price List'!$B$8:$J$1194,8,0)</f>
        <v>10.5</v>
      </c>
      <c r="I17" s="182">
        <f>VLOOKUP(20289,'Total Price List'!$B$8:$J$1194,8,0)</f>
        <v>15</v>
      </c>
      <c r="J17" s="175"/>
      <c r="K17" s="197"/>
      <c r="L17" s="176">
        <v>1</v>
      </c>
      <c r="M17" s="333">
        <f>$D$2</f>
        <v>0</v>
      </c>
      <c r="N17" s="177">
        <f>IF($P$1=TRUE,20269,IF($D$2&gt;999,20268,IF($D$2&gt;499,20267,IF($D$2&gt;249,20266,IF($D$2&gt;99,20265,IF($D$2&gt;49,20264,IF($D$2&gt;24,20263,IF($D$2&gt;9,20262,IF($D$2&gt;4,20261,0)))))))))</f>
        <v>0</v>
      </c>
      <c r="O17" s="519" t="s">
        <v>504</v>
      </c>
      <c r="P17" s="413">
        <f>IF($P$1=TRUE,G17,IF($D$2&gt;999,G16,IF($D$2&gt;499,G15,IF($D$2&gt;249,G14,IF($D$2&gt;99,G13,IF($D$2&gt;49,G12,IF($D$2&gt;24,G11,IF($D$2&gt;9,G10,IF($D$2&gt;4,G9,0)))))))))</f>
        <v>0</v>
      </c>
      <c r="Q17" s="179">
        <f>IF($P$1=TRUE,$D$2*G17,IF($D$2&gt;999,$D$2*G16,IF($D$2&gt;499,$D$2*G15,IF($D$2&gt;249,$D$2*G14,IF($D$2&gt;99,$D$2*G13,IF($D$2&gt;49,$D$2*G12,IF($D$2&gt;24,$D$2*G11,IF($D$2&gt;9,$D$2*G10,IF($D$2&gt;4,$D$2*G9,0)))))))))</f>
        <v>0</v>
      </c>
      <c r="R17" s="675">
        <f>IF('Total Price List'!$C$5&gt;0,(Q17-(Q17*'Total Price List'!$C$5)),Q17)</f>
        <v>0</v>
      </c>
      <c r="S17" s="200"/>
    </row>
    <row r="18" spans="1:19" ht="14.45" customHeight="1" x14ac:dyDescent="0.25">
      <c r="A18" s="173"/>
      <c r="B18" s="190"/>
      <c r="C18" s="191"/>
      <c r="D18" s="192"/>
      <c r="E18" s="193"/>
      <c r="F18" s="193"/>
      <c r="G18" s="198"/>
      <c r="H18" s="198"/>
      <c r="I18" s="198"/>
      <c r="J18" s="175"/>
      <c r="K18" s="197"/>
      <c r="L18" s="183"/>
      <c r="M18" s="184"/>
      <c r="N18" s="281"/>
      <c r="O18" s="184" t="s">
        <v>821</v>
      </c>
      <c r="P18" s="414"/>
      <c r="Q18" s="185"/>
      <c r="R18" s="678"/>
      <c r="S18" s="200"/>
    </row>
    <row r="19" spans="1:19" ht="14.45" customHeight="1" x14ac:dyDescent="0.25">
      <c r="A19" s="161"/>
      <c r="B19" s="194">
        <f>$D$2</f>
        <v>0</v>
      </c>
      <c r="C19" s="195">
        <f>IF($P$1=TRUE,$D$2*C17,IF($D$2&gt;999,$D$2*C16,IF($D$2&gt;499,$D$2*C15,IF($D$2&gt;249,$D$2*C14,IF($D$2&gt;99,$D$2*C13,IF($D$2&gt;49,$D$2*C12,IF($D$2&gt;24,$D$2*C11,IF($D$2&gt;9,$D$2*C10,IF($D$2&gt;4,$D$2*C9,0)))))))))</f>
        <v>0</v>
      </c>
      <c r="D19" s="195">
        <f t="shared" ref="D19:H19" si="0">IF($P$1=TRUE,$D$2*D17,IF($D$2&gt;999,$D$2*D16,IF($D$2&gt;499,$D$2*D15,IF($D$2&gt;249,$D$2*D14,IF($D$2&gt;99,$D$2*D13,IF($D$2&gt;49,$D$2*D12,IF($D$2&gt;24,$D$2*D11,IF($D$2&gt;9,$D$2*D10,IF($D$2&gt;4,$D$2*D9,0)))))))))</f>
        <v>0</v>
      </c>
      <c r="E19" s="195">
        <f t="shared" si="0"/>
        <v>0</v>
      </c>
      <c r="F19" s="195"/>
      <c r="G19" s="195">
        <f t="shared" si="0"/>
        <v>0</v>
      </c>
      <c r="H19" s="195">
        <f t="shared" si="0"/>
        <v>0</v>
      </c>
      <c r="I19" s="195">
        <f>IF($P$1=TRUE,$D$2*I17,IF($D$2&gt;999,$D$2*I16,IF($D$2&gt;499,$D$2*I15,IF($D$2&gt;249,$D$2*I14,IF($D$2&gt;99,$D$2*I13,IF($D$2&gt;49,$D$2*I12,IF($D$2&gt;24,$D$2*I11,IF($D$2&gt;9,$D$2*I10,IF($D$2&gt;4,$D$2*I9,0)))))))))</f>
        <v>0</v>
      </c>
      <c r="J19" s="273"/>
      <c r="K19" s="197"/>
      <c r="L19" s="176">
        <v>2</v>
      </c>
      <c r="M19" s="333">
        <f>$D$2</f>
        <v>0</v>
      </c>
      <c r="N19" s="177">
        <f>IF($P$1=TRUE,20279,IF($D$2&gt;999,20278,IF($D$2&gt;499,20277,IF($D$2&gt;249,20276,IF($D$2&gt;99,20275,IF($D$2&gt;49,20274,IF($D$2&gt;24,20273,IF($D$2&gt;9,20272,IF($D$2&gt;4,20271,0)))))))))</f>
        <v>0</v>
      </c>
      <c r="O19" s="519" t="s">
        <v>504</v>
      </c>
      <c r="P19" s="413">
        <f>IF($P$1=TRUE,H17,IF($D$2&gt;999,H16,IF($D$2&gt;499,H15,IF($D$2&gt;249,H14,IF($D$2&gt;99,H13,IF($D$2&gt;49,H12,IF($D$2&gt;24,H11,IF($D$2&gt;9,H10,IF($D$2&gt;4,H9,0)))))))))</f>
        <v>0</v>
      </c>
      <c r="Q19" s="179">
        <f>IF($P$1=TRUE,$D$2*H17,IF($D$2&gt;999,$D$2*H16,IF($D$2&gt;499,$D$2*H15,IF($D$2&gt;249,$D$2*H14,IF($D$2&gt;99,$D$2*H13,IF($D$2&gt;49,$D$2*H12,IF($D$2&gt;24,$D$2*H11,IF($D$2&gt;9,$D$2*H10,IF($D$2&gt;4,$D$2*H9,0)))))))))</f>
        <v>0</v>
      </c>
      <c r="R19" s="675">
        <f>IF('Total Price List'!$C$5&gt;0,(Q19-(Q19*'Total Price List'!$C$5)),Q19)</f>
        <v>0</v>
      </c>
      <c r="S19" s="200"/>
    </row>
    <row r="20" spans="1:19" ht="14.45" customHeight="1" x14ac:dyDescent="0.25">
      <c r="A20" s="173"/>
      <c r="B20" s="196" t="s">
        <v>811</v>
      </c>
      <c r="C20" s="332">
        <f>IF(C19&gt;0,C19/$D$2,0)</f>
        <v>0</v>
      </c>
      <c r="D20" s="332">
        <f t="shared" ref="D20:H20" si="1">IF(D19&gt;0,D19/$D$2,0)</f>
        <v>0</v>
      </c>
      <c r="E20" s="332">
        <f t="shared" si="1"/>
        <v>0</v>
      </c>
      <c r="F20" s="332"/>
      <c r="G20" s="332">
        <f t="shared" si="1"/>
        <v>0</v>
      </c>
      <c r="H20" s="332">
        <f t="shared" si="1"/>
        <v>0</v>
      </c>
      <c r="I20" s="332">
        <f>IF(I19&gt;0,I19/$D$2,0)</f>
        <v>0</v>
      </c>
      <c r="J20" s="175"/>
      <c r="L20" s="183"/>
      <c r="M20" s="184"/>
      <c r="N20" s="281"/>
      <c r="O20" s="184" t="s">
        <v>822</v>
      </c>
      <c r="P20" s="414"/>
      <c r="Q20" s="185"/>
      <c r="R20" s="678"/>
      <c r="S20" s="200"/>
    </row>
    <row r="21" spans="1:19" ht="14.45" customHeight="1" x14ac:dyDescent="0.25">
      <c r="A21" s="161"/>
      <c r="B21" s="199"/>
      <c r="C21" s="198"/>
      <c r="D21" s="198"/>
      <c r="E21" s="198"/>
      <c r="F21" s="198"/>
      <c r="G21" s="198"/>
      <c r="H21" s="198"/>
      <c r="I21" s="198"/>
      <c r="J21" s="175"/>
      <c r="K21" s="155"/>
      <c r="L21" s="176">
        <v>3</v>
      </c>
      <c r="M21" s="333">
        <f>$D$2</f>
        <v>0</v>
      </c>
      <c r="N21" s="177">
        <f>IF($P$1=TRUE,20289,IF($D$2&gt;999,20288,IF($D$2&gt;499,20287,IF($D$2&gt;249,20286,IF($D$2&gt;99,20285,IF($D$2&gt;49,20284,IF($D$2&gt;24,20283,IF($D$2&gt;9,20282,IF($D$2&gt;4,20281,0)))))))))</f>
        <v>0</v>
      </c>
      <c r="O21" s="519" t="s">
        <v>504</v>
      </c>
      <c r="P21" s="413">
        <f>IF($P$1=TRUE,I17,IF($D$2&gt;999,I16,IF($D$2&gt;499,I15,IF($D$2&gt;249,I14,IF($D$2&gt;99,I13,IF($D$2&gt;49,I12,IF($D$2&gt;24,I11,IF($D$2&gt;9,I10,IF($D$2&gt;4,I9,0)))))))))</f>
        <v>0</v>
      </c>
      <c r="Q21" s="179">
        <f>IF($P$1=TRUE,$D$2*I17,IF($D$2&gt;999,$D$2*I16,IF($D$2&gt;499,$D$2*I15,IF($D$2&gt;249,$D$2*I14,IF($D$2&gt;99,$D$2*I13,IF($D$2&gt;49,$D$2*I12,IF($D$2&gt;24,$D$2*I11,IF($D$2&gt;9,$D$2*I10,IF($D$2&gt;4,$D$2*I9,0)))))))))</f>
        <v>0</v>
      </c>
      <c r="R21" s="675">
        <f>IF('Total Price List'!$C$5&gt;0,(Q21-(Q21*'Total Price List'!$C$5)),Q21)</f>
        <v>0</v>
      </c>
      <c r="S21" s="200"/>
    </row>
    <row r="22" spans="1:19" ht="14.45" customHeight="1" x14ac:dyDescent="0.25">
      <c r="A22" s="201"/>
      <c r="B22" s="202"/>
      <c r="C22" s="203"/>
      <c r="D22" s="203"/>
      <c r="E22" s="203"/>
      <c r="F22" s="203"/>
      <c r="G22" s="203"/>
      <c r="H22" s="203"/>
      <c r="I22" s="203"/>
      <c r="J22" s="204"/>
      <c r="K22" s="166"/>
      <c r="L22" s="187"/>
      <c r="M22" s="188"/>
      <c r="N22" s="285"/>
      <c r="O22" s="188" t="s">
        <v>823</v>
      </c>
      <c r="P22" s="311"/>
      <c r="Q22" s="189"/>
      <c r="R22" s="682"/>
      <c r="S22" s="200"/>
    </row>
    <row r="23" spans="1:19" ht="12.6" customHeight="1" x14ac:dyDescent="0.25">
      <c r="K23" s="151"/>
      <c r="L23" s="184"/>
      <c r="M23" s="184"/>
      <c r="N23" s="281"/>
      <c r="O23" s="184"/>
      <c r="P23" s="184"/>
      <c r="Q23" s="184"/>
      <c r="R23" s="184"/>
      <c r="S23" s="200"/>
    </row>
    <row r="24" spans="1:19" ht="14.45" customHeight="1" x14ac:dyDescent="0.25">
      <c r="A24" s="895" t="s">
        <v>947</v>
      </c>
      <c r="B24" s="896"/>
      <c r="C24" s="896"/>
      <c r="D24" s="896"/>
      <c r="E24" s="896"/>
      <c r="F24" s="896"/>
      <c r="G24" s="896"/>
      <c r="H24" s="896"/>
      <c r="I24" s="896"/>
      <c r="J24" s="897"/>
      <c r="L24" s="884" t="s">
        <v>812</v>
      </c>
      <c r="M24" s="885"/>
      <c r="N24" s="156" t="s">
        <v>815</v>
      </c>
      <c r="O24" s="158" t="s">
        <v>824</v>
      </c>
      <c r="P24" s="156" t="s">
        <v>826</v>
      </c>
      <c r="Q24" s="159" t="s">
        <v>818</v>
      </c>
      <c r="R24" s="159" t="s">
        <v>820</v>
      </c>
      <c r="S24" s="200"/>
    </row>
    <row r="25" spans="1:19" ht="14.45" customHeight="1" x14ac:dyDescent="0.25">
      <c r="A25" s="205"/>
      <c r="B25" s="206"/>
      <c r="C25" s="207" t="s">
        <v>806</v>
      </c>
      <c r="D25" s="208"/>
      <c r="E25" s="208"/>
      <c r="F25" s="208"/>
      <c r="G25" s="207" t="s">
        <v>810</v>
      </c>
      <c r="H25" s="208"/>
      <c r="I25" s="222"/>
      <c r="J25" s="209"/>
      <c r="L25" s="167" t="s">
        <v>814</v>
      </c>
      <c r="M25" s="168" t="s">
        <v>813</v>
      </c>
      <c r="N25" s="169" t="s">
        <v>816</v>
      </c>
      <c r="O25" s="171" t="s">
        <v>947</v>
      </c>
      <c r="P25" s="169" t="s">
        <v>817</v>
      </c>
      <c r="Q25" s="172" t="s">
        <v>819</v>
      </c>
      <c r="R25" s="172" t="s">
        <v>819</v>
      </c>
      <c r="S25" s="200"/>
    </row>
    <row r="26" spans="1:19" ht="14.45" customHeight="1" x14ac:dyDescent="0.25">
      <c r="A26" s="210"/>
      <c r="B26" s="211" t="s">
        <v>805</v>
      </c>
      <c r="C26" s="211" t="s">
        <v>807</v>
      </c>
      <c r="D26" s="211" t="s">
        <v>808</v>
      </c>
      <c r="E26" s="211" t="s">
        <v>809</v>
      </c>
      <c r="F26" s="222"/>
      <c r="G26" s="215" t="s">
        <v>807</v>
      </c>
      <c r="H26" s="215" t="s">
        <v>808</v>
      </c>
      <c r="I26" s="215" t="s">
        <v>809</v>
      </c>
      <c r="J26" s="212"/>
      <c r="L26" s="176">
        <v>1</v>
      </c>
      <c r="M26" s="333">
        <f>$D$2</f>
        <v>0</v>
      </c>
      <c r="N26" s="177">
        <f>IF($P$1=TRUE,20319,IF($D$2&gt;999,20318,IF($D$2&gt;499,20317,IF($D$2&gt;249,20316,IF($D$2&gt;99,20315,IF($D$2&gt;49,20314,IF($D$2&gt;24,20313,IF($D$2&gt;9,20312,IF($D$2&gt;4,20311,0)))))))))</f>
        <v>0</v>
      </c>
      <c r="O26" s="519" t="s">
        <v>947</v>
      </c>
      <c r="P26" s="178">
        <f>IF($P$1=TRUE,C35,IF($D$2&gt;999,C34,IF($D$2&gt;499,C33,IF($D$2&gt;249,C32,IF($D$2&gt;99,C31,IF($D$2&gt;49,C30,IF($D$2&gt;24,C29,IF($D$2&gt;9,C28,IF($D$2&gt;4,C27,0)))))))))</f>
        <v>0</v>
      </c>
      <c r="Q26" s="179">
        <f>IF($P$1=TRUE,$D$2*C35,IF($D$2&gt;999,$D$2*C34,IF($D$2&gt;499,$D$2*C33,IF($D$2&gt;249,$D$2*C32,IF($D$2&gt;99,$D$2*C31,IF($D$2&gt;49,$D$2*C30,IF($D$2&gt;24,$D$2*C29,IF($D$2&gt;9,$D$2*C28,IF($D$2&gt;4,$D$2*C27,0)))))))))</f>
        <v>0</v>
      </c>
      <c r="R26" s="179">
        <f>IF('Total Price List'!$C$4&gt;0,(Q26-(Q26*'Total Price List'!$C$4)),Q26)</f>
        <v>0</v>
      </c>
      <c r="S26" s="200"/>
    </row>
    <row r="27" spans="1:19" ht="14.45" customHeight="1" x14ac:dyDescent="0.25">
      <c r="A27" s="205"/>
      <c r="B27" s="213">
        <v>5</v>
      </c>
      <c r="C27" s="214">
        <f>VLOOKUP(20311,'Total Price List'!$B$8:$J$1194,8,0)</f>
        <v>45</v>
      </c>
      <c r="D27" s="214">
        <f>VLOOKUP(20321,'Total Price List'!$B$8:$J$1194,8,0)</f>
        <v>63</v>
      </c>
      <c r="E27" s="214">
        <f>VLOOKUP(20331,'Total Price List'!$B$8:$J$1194,8,0)</f>
        <v>80.099999999999994</v>
      </c>
      <c r="F27" s="222"/>
      <c r="G27" s="275">
        <f>VLOOKUP(20361,'Total Price List'!$B$8:$J$1194,8,0)</f>
        <v>24</v>
      </c>
      <c r="H27" s="275">
        <f>VLOOKUP(20371,'Total Price List'!$B$8:$J$1194,8,0)</f>
        <v>42</v>
      </c>
      <c r="I27" s="275">
        <f>VLOOKUP(20381,'Total Price List'!$B$8:$J$1194,8,0)</f>
        <v>60</v>
      </c>
      <c r="J27" s="212"/>
      <c r="L27" s="183"/>
      <c r="M27" s="184"/>
      <c r="N27" s="281"/>
      <c r="O27" s="184" t="s">
        <v>821</v>
      </c>
      <c r="P27" s="184"/>
      <c r="Q27" s="185"/>
      <c r="R27" s="185"/>
      <c r="S27" s="200"/>
    </row>
    <row r="28" spans="1:19" ht="14.45" customHeight="1" x14ac:dyDescent="0.25">
      <c r="A28" s="205"/>
      <c r="B28" s="213">
        <v>10</v>
      </c>
      <c r="C28" s="214">
        <f>VLOOKUP(20312,'Total Price List'!$B$8:$J$1194,8,0)</f>
        <v>37.799999999999997</v>
      </c>
      <c r="D28" s="214">
        <f>VLOOKUP(20322,'Total Price List'!$B$8:$J$1194,8,0)</f>
        <v>55.8</v>
      </c>
      <c r="E28" s="214">
        <f>VLOOKUP(20332,'Total Price List'!$B$8:$J$1194,8,0)</f>
        <v>71.099999999999994</v>
      </c>
      <c r="F28" s="222"/>
      <c r="G28" s="275">
        <f>VLOOKUP(20362,'Total Price List'!$B$8:$J$1194,8,0)</f>
        <v>23.52</v>
      </c>
      <c r="H28" s="275">
        <f>VLOOKUP(20372,'Total Price List'!$B$8:$J$1194,8,0)</f>
        <v>41.16</v>
      </c>
      <c r="I28" s="275">
        <f>VLOOKUP(20382,'Total Price List'!$B$8:$J$1194,8,0)</f>
        <v>58.800000000000004</v>
      </c>
      <c r="J28" s="212"/>
      <c r="L28" s="176">
        <v>2</v>
      </c>
      <c r="M28" s="333">
        <f>$D$2</f>
        <v>0</v>
      </c>
      <c r="N28" s="177">
        <f>IF($P$1=TRUE,20329,IF($D$2&gt;999,20328,IF($D$2&gt;499,20327,IF($D$2&gt;249,20326,IF($D$2&gt;99,20325,IF($D$2&gt;49,20324,IF($D$2&gt;24,20323,IF($D$2&gt;9,20322,IF($D$2&gt;4,20321,0)))))))))</f>
        <v>0</v>
      </c>
      <c r="O28" s="519" t="s">
        <v>947</v>
      </c>
      <c r="P28" s="178">
        <f>IF($P$1=TRUE,D35,IF($D$2&gt;999,D34,IF($D$2&gt;499,D33,IF($D$2&gt;249,D32,IF($D$2&gt;99,D31,IF($D$2&gt;49,D30,IF($D$2&gt;24,D29,IF($D$2&gt;9,D28,IF($D$2&gt;4,D27,0)))))))))</f>
        <v>0</v>
      </c>
      <c r="Q28" s="179">
        <f>IF($P$1=TRUE,$D$2*D35,IF($D$2&gt;999,$D$2*D34,IF($D$2&gt;499,$D$2*D33,IF($D$2&gt;249,$D$2*D32,IF($D$2&gt;99,$D$2*D31,IF($D$2&gt;49,$D$2*D30,IF($D$2&gt;24,$D$2*D29,IF($D$2&gt;9,$D$2*D28,IF($D$2&gt;4,$D$2*D27,0)))))))))</f>
        <v>0</v>
      </c>
      <c r="R28" s="179">
        <f>IF('Total Price List'!$C$4&gt;0,(Q28-(Q28*'Total Price List'!$C$4)),Q28)</f>
        <v>0</v>
      </c>
      <c r="S28" s="200"/>
    </row>
    <row r="29" spans="1:19" ht="14.45" customHeight="1" x14ac:dyDescent="0.25">
      <c r="A29" s="210"/>
      <c r="B29" s="213">
        <v>25</v>
      </c>
      <c r="C29" s="214">
        <f>VLOOKUP(20313,'Total Price List'!$B$8:$J$1194,8,0)</f>
        <v>30.15</v>
      </c>
      <c r="D29" s="214">
        <f>VLOOKUP(20323,'Total Price List'!$B$8:$J$1194,8,0)</f>
        <v>43.199999999999996</v>
      </c>
      <c r="E29" s="214">
        <f>VLOOKUP(20333,'Total Price List'!$B$8:$J$1194,8,0)</f>
        <v>61.199999999999996</v>
      </c>
      <c r="F29" s="222"/>
      <c r="G29" s="275">
        <f>VLOOKUP(20363,'Total Price List'!$B$8:$J$1194,8,0)</f>
        <v>19.776000000000003</v>
      </c>
      <c r="H29" s="275">
        <f>VLOOKUP(20373,'Total Price List'!$B$8:$J$1194,8,0)</f>
        <v>34.608000000000004</v>
      </c>
      <c r="I29" s="275">
        <f>VLOOKUP(20383,'Total Price List'!$B$8:$J$1194,8,0)</f>
        <v>49.44</v>
      </c>
      <c r="J29" s="212"/>
      <c r="L29" s="183"/>
      <c r="M29" s="184"/>
      <c r="N29" s="281"/>
      <c r="O29" s="184" t="s">
        <v>822</v>
      </c>
      <c r="P29" s="184"/>
      <c r="Q29" s="185"/>
      <c r="R29" s="185"/>
      <c r="S29" s="200"/>
    </row>
    <row r="30" spans="1:19" ht="14.45" customHeight="1" x14ac:dyDescent="0.25">
      <c r="A30" s="205"/>
      <c r="B30" s="213">
        <v>50</v>
      </c>
      <c r="C30" s="214">
        <f>VLOOKUP(20314,'Total Price List'!$B$8:$J$1194,8,0)</f>
        <v>23.4</v>
      </c>
      <c r="D30" s="214">
        <f>VLOOKUP(20324,'Total Price List'!$B$8:$J$1194,8,0)</f>
        <v>36</v>
      </c>
      <c r="E30" s="214">
        <f>VLOOKUP(20334,'Total Price List'!$B$8:$J$1194,8,0)</f>
        <v>52.199999999999996</v>
      </c>
      <c r="F30" s="217"/>
      <c r="G30" s="275">
        <f>VLOOKUP(20364,'Total Price List'!$B$8:$J$1194,8,0)</f>
        <v>18.528000000000002</v>
      </c>
      <c r="H30" s="275">
        <f>VLOOKUP(20374,'Total Price List'!$B$8:$J$1194,8,0)</f>
        <v>32.423999999999999</v>
      </c>
      <c r="I30" s="275">
        <f>VLOOKUP(20384,'Total Price List'!$B$8:$J$1194,8,0)</f>
        <v>46.32</v>
      </c>
      <c r="J30" s="276"/>
      <c r="L30" s="176">
        <v>3</v>
      </c>
      <c r="M30" s="333">
        <f>$D$2</f>
        <v>0</v>
      </c>
      <c r="N30" s="177">
        <f>IF($P$1=TRUE,20339,IF($D$2&gt;999,20338,IF($D$2&gt;499,20337,IF($D$2&gt;249,20336,IF($D$2&gt;99,20335,IF($D$2&gt;49,20334,IF($D$2&gt;24,20333,IF($D$2&gt;9,20332,IF($D$2&gt;4,20331,0)))))))))</f>
        <v>0</v>
      </c>
      <c r="O30" s="519" t="s">
        <v>947</v>
      </c>
      <c r="P30" s="178">
        <f>IF($P$1=TRUE,E35,IF($D$2&gt;999,E34,IF($D$2&gt;499,E33,IF($D$2&gt;249,E32,IF($D$2&gt;99,E31,IF($D$2&gt;49,E30,IF($D$2&gt;24,E29,IF($D$2&gt;9,E28,IF($D$2&gt;4,E27,0)))))))))</f>
        <v>0</v>
      </c>
      <c r="Q30" s="179">
        <f>IF($P$1=TRUE,$D$2*E35,IF($D$2&gt;999,$D$2*E34,IF($D$2&gt;499,$D$2*E33,IF($D$2&gt;249,$D$2*E32,IF($D$2&gt;99,$D$2*E31,IF($D$2&gt;49,$D$2*E30,IF($D$2&gt;24,$D$2*E29,IF($D$2&gt;9,$D$2*E28,IF($D$2&gt;4,$D$2*E27,0)))))))))</f>
        <v>0</v>
      </c>
      <c r="R30" s="179">
        <f>IF('Total Price List'!$C$4&gt;0,(Q30-(Q30*'Total Price List'!$C$4)),Q30)</f>
        <v>0</v>
      </c>
      <c r="S30" s="200"/>
    </row>
    <row r="31" spans="1:19" ht="14.45" customHeight="1" x14ac:dyDescent="0.25">
      <c r="A31" s="205"/>
      <c r="B31" s="213">
        <v>100</v>
      </c>
      <c r="C31" s="214">
        <f>VLOOKUP(20315,'Total Price List'!$B$8:$J$1194,8,0)</f>
        <v>20.7</v>
      </c>
      <c r="D31" s="214">
        <f>VLOOKUP(20325,'Total Price List'!$B$8:$J$1194,8,0)</f>
        <v>31.5</v>
      </c>
      <c r="E31" s="214">
        <f>VLOOKUP(20335,'Total Price List'!$B$8:$J$1194,8,0)</f>
        <v>44.099999999999994</v>
      </c>
      <c r="F31" s="217"/>
      <c r="G31" s="275">
        <f>VLOOKUP(20365,'Total Price List'!$B$8:$J$1194,8,0)</f>
        <v>15.024000000000001</v>
      </c>
      <c r="H31" s="275">
        <f>VLOOKUP(20375,'Total Price List'!$B$8:$J$1194,8,0)</f>
        <v>26.291999999999998</v>
      </c>
      <c r="I31" s="275">
        <f>VLOOKUP(20385,'Total Price List'!$B$8:$J$1194,8,0)</f>
        <v>37.559999999999995</v>
      </c>
      <c r="J31" s="276"/>
      <c r="L31" s="187"/>
      <c r="M31" s="188"/>
      <c r="N31" s="285"/>
      <c r="O31" s="188" t="s">
        <v>823</v>
      </c>
      <c r="P31" s="188"/>
      <c r="Q31" s="189"/>
      <c r="R31" s="189"/>
      <c r="S31" s="200"/>
    </row>
    <row r="32" spans="1:19" ht="14.45" customHeight="1" x14ac:dyDescent="0.25">
      <c r="A32" s="210"/>
      <c r="B32" s="213">
        <v>250</v>
      </c>
      <c r="C32" s="214">
        <f>VLOOKUP(20316,'Total Price List'!$B$8:$J$1194,8,0)</f>
        <v>18</v>
      </c>
      <c r="D32" s="214">
        <f>VLOOKUP(20326,'Total Price List'!$B$8:$J$1194,8,0)</f>
        <v>27</v>
      </c>
      <c r="E32" s="214">
        <f>VLOOKUP(20336,'Total Price List'!$B$8:$J$1194,8,0)</f>
        <v>36.9</v>
      </c>
      <c r="F32" s="217"/>
      <c r="G32" s="275">
        <f>VLOOKUP(20366,'Total Price List'!$B$8:$J$1194,8,0)</f>
        <v>11.769600000000001</v>
      </c>
      <c r="H32" s="275">
        <f>VLOOKUP(20376,'Total Price List'!$B$8:$J$1194,8,0)</f>
        <v>20.596800000000002</v>
      </c>
      <c r="I32" s="275">
        <f>VLOOKUP(20386,'Total Price List'!$B$8:$J$1194,8,0)</f>
        <v>29.423999999999996</v>
      </c>
      <c r="J32" s="212"/>
      <c r="L32" s="184"/>
      <c r="M32" s="184"/>
      <c r="N32" s="281"/>
      <c r="O32" s="184"/>
      <c r="P32" s="184"/>
      <c r="Q32" s="184"/>
      <c r="R32" s="184"/>
      <c r="S32" s="200"/>
    </row>
    <row r="33" spans="1:19" ht="14.45" customHeight="1" x14ac:dyDescent="0.25">
      <c r="A33" s="205"/>
      <c r="B33" s="213">
        <v>500</v>
      </c>
      <c r="C33" s="214">
        <f>VLOOKUP(20317,'Total Price List'!$B$8:$J$1194,8,0)</f>
        <v>16.2</v>
      </c>
      <c r="D33" s="214">
        <f>VLOOKUP(20327,'Total Price List'!$B$8:$J$1194,8,0)</f>
        <v>24.299999999999997</v>
      </c>
      <c r="E33" s="214">
        <f>VLOOKUP(20337,'Total Price List'!$B$8:$J$1194,8,0)</f>
        <v>33.299999999999997</v>
      </c>
      <c r="F33" s="217"/>
      <c r="G33" s="275">
        <f>VLOOKUP(20367,'Total Price List'!$B$8:$J$1194,8,0)</f>
        <v>10.204800000000001</v>
      </c>
      <c r="H33" s="275">
        <f>VLOOKUP(20377,'Total Price List'!$B$8:$J$1194,8,0)</f>
        <v>17.858400000000003</v>
      </c>
      <c r="I33" s="275">
        <f>VLOOKUP(20387,'Total Price List'!$B$8:$J$1194,8,0)</f>
        <v>25.512</v>
      </c>
      <c r="J33" s="276"/>
      <c r="L33" s="884" t="s">
        <v>810</v>
      </c>
      <c r="M33" s="885"/>
      <c r="N33" s="156" t="s">
        <v>815</v>
      </c>
      <c r="O33" s="158" t="s">
        <v>824</v>
      </c>
      <c r="P33" s="156" t="s">
        <v>826</v>
      </c>
      <c r="Q33" s="159" t="s">
        <v>818</v>
      </c>
      <c r="R33" s="159" t="s">
        <v>820</v>
      </c>
      <c r="S33" s="200"/>
    </row>
    <row r="34" spans="1:19" ht="14.45" customHeight="1" x14ac:dyDescent="0.25">
      <c r="A34" s="210"/>
      <c r="B34" s="213">
        <v>1000</v>
      </c>
      <c r="C34" s="214">
        <f>VLOOKUP(20318,'Total Price List'!$B$8:$J$1194,8,0)</f>
        <v>14.399999999999999</v>
      </c>
      <c r="D34" s="214">
        <f>VLOOKUP(20328,'Total Price List'!$B$8:$J$1194,8,0)</f>
        <v>22.5</v>
      </c>
      <c r="E34" s="214">
        <f>VLOOKUP(20338,'Total Price List'!$B$8:$J$1194,8,0)</f>
        <v>29.700000000000003</v>
      </c>
      <c r="F34" s="217"/>
      <c r="G34" s="275">
        <f>VLOOKUP(20368,'Total Price List'!$B$8:$J$1194,8,0)</f>
        <v>8.7360000000000007</v>
      </c>
      <c r="H34" s="275">
        <f>VLOOKUP(20378,'Total Price List'!$B$8:$J$1194,8,0)</f>
        <v>16.224</v>
      </c>
      <c r="I34" s="275">
        <f>VLOOKUP(20388,'Total Price List'!$B$8:$J$1194,8,0)</f>
        <v>21.840000000000003</v>
      </c>
      <c r="J34" s="212"/>
      <c r="L34" s="167" t="s">
        <v>814</v>
      </c>
      <c r="M34" s="168" t="s">
        <v>813</v>
      </c>
      <c r="N34" s="169" t="s">
        <v>816</v>
      </c>
      <c r="O34" s="171" t="s">
        <v>947</v>
      </c>
      <c r="P34" s="169" t="s">
        <v>817</v>
      </c>
      <c r="Q34" s="172" t="s">
        <v>819</v>
      </c>
      <c r="R34" s="172" t="s">
        <v>819</v>
      </c>
      <c r="S34" s="200"/>
    </row>
    <row r="35" spans="1:19" ht="14.45" customHeight="1" x14ac:dyDescent="0.25">
      <c r="A35" s="210"/>
      <c r="B35" s="215" t="s">
        <v>827</v>
      </c>
      <c r="C35" s="214">
        <f>VLOOKUP(20319,'Total Price List'!$B$8:$J$1194,8,0)</f>
        <v>12</v>
      </c>
      <c r="D35" s="214">
        <f>VLOOKUP(20329,'Total Price List'!$B$8:$J$1194,8,0)</f>
        <v>20</v>
      </c>
      <c r="E35" s="214">
        <f>VLOOKUP(20339,'Total Price List'!$B$8:$J$1194,8,0)</f>
        <v>28</v>
      </c>
      <c r="F35" s="217"/>
      <c r="G35" s="275">
        <f>VLOOKUP(20369,'Total Price List'!$B$8:$J$1194,8,0)</f>
        <v>10</v>
      </c>
      <c r="H35" s="275">
        <f>VLOOKUP(20379,'Total Price List'!$B$8:$J$1194,8,0)</f>
        <v>17.5</v>
      </c>
      <c r="I35" s="275">
        <f>VLOOKUP(20389,'Total Price List'!$B$8:$J$1194,8,0)</f>
        <v>25</v>
      </c>
      <c r="J35" s="212"/>
      <c r="L35" s="176">
        <v>1</v>
      </c>
      <c r="M35" s="333">
        <f>$D$2</f>
        <v>0</v>
      </c>
      <c r="N35" s="177">
        <f>IF($P$1=TRUE,20369,IF($D$2&gt;999,20368,IF($D$2&gt;499,20367,IF($D$2&gt;249,20366,IF($D$2&gt;99,20365,IF($D$2&gt;49,20364,IF($D$2&gt;24,20363,IF($D$2&gt;9,20362,IF($D$2&gt;4,20361,0)))))))))</f>
        <v>0</v>
      </c>
      <c r="O35" s="519" t="s">
        <v>967</v>
      </c>
      <c r="P35" s="274">
        <f>IF($P$1=TRUE,G35,IF($D$2&gt;999,G34,IF($D$2&gt;499,G33,IF($D$2&gt;249,G32,IF($D$2&gt;99,G31,IF($D$2&gt;49,G30,IF($D$2&gt;24,G29,IF($D$2&gt;9,G28,IF($D$2&gt;4,G27,0)))))))))</f>
        <v>0</v>
      </c>
      <c r="Q35" s="179">
        <f>IF($P$1=TRUE,$D$2*G35,IF($D$2&gt;999,$D$2*G34,IF($D$2&gt;499,$D$2*G33,IF($D$2&gt;249,$D$2*G32,IF($D$2&gt;99,$D$2*G31,IF($D$2&gt;49,$D$2*G30,IF($D$2&gt;24,$D$2*G29,IF($D$2&gt;9,$D$2*G28,IF($D$2&gt;4,$D$2*G27,0)))))))))</f>
        <v>0</v>
      </c>
      <c r="R35" s="179">
        <f>IF('Total Price List'!$C$5&gt;0,(Q35-(Q35*'Total Price List'!$C$5)),Q35)</f>
        <v>0</v>
      </c>
      <c r="S35" s="200"/>
    </row>
    <row r="36" spans="1:19" ht="14.45" customHeight="1" x14ac:dyDescent="0.25">
      <c r="A36" s="210"/>
      <c r="B36" s="215"/>
      <c r="C36" s="216"/>
      <c r="D36" s="217"/>
      <c r="E36" s="218"/>
      <c r="F36" s="218"/>
      <c r="G36" s="222"/>
      <c r="H36" s="222"/>
      <c r="I36" s="222"/>
      <c r="J36" s="212"/>
      <c r="L36" s="183"/>
      <c r="M36" s="184"/>
      <c r="N36" s="281"/>
      <c r="O36" s="184" t="s">
        <v>821</v>
      </c>
      <c r="P36" s="184"/>
      <c r="Q36" s="185"/>
      <c r="R36" s="185"/>
      <c r="S36" s="200"/>
    </row>
    <row r="37" spans="1:19" ht="14.45" customHeight="1" x14ac:dyDescent="0.25">
      <c r="A37" s="205"/>
      <c r="B37" s="219">
        <f>$D$2</f>
        <v>0</v>
      </c>
      <c r="C37" s="220">
        <f>IF($P$1=TRUE,$D$2*C35,IF($D$2&gt;999,$D$2*C34,IF($D$2&gt;499,$D$2*C33,IF($D$2&gt;249,$D$2*C32,IF($D$2&gt;99,$D$2*C31,IF($D$2&gt;49,$D$2*C30,IF($D$2&gt;24,$D$2*C29,IF($D$2&gt;9,$D$2*C28,IF($D$2&gt;4,$D$2*C27,0)))))))))</f>
        <v>0</v>
      </c>
      <c r="D37" s="220">
        <f t="shared" ref="D37:E37" si="2">IF($P$1=TRUE,$D$2*D35,IF($D$2&gt;999,$D$2*D34,IF($D$2&gt;499,$D$2*D33,IF($D$2&gt;249,$D$2*D32,IF($D$2&gt;99,$D$2*D31,IF($D$2&gt;49,$D$2*D30,IF($D$2&gt;24,$D$2*D29,IF($D$2&gt;9,$D$2*D28,IF($D$2&gt;4,$D$2*D27,0)))))))))</f>
        <v>0</v>
      </c>
      <c r="E37" s="220">
        <f t="shared" si="2"/>
        <v>0</v>
      </c>
      <c r="F37" s="220"/>
      <c r="G37" s="220">
        <f t="shared" ref="G37:I37" si="3">IF($P$1=TRUE,$D$2*G35,IF($D$2&gt;999,$D$2*G34,IF($D$2&gt;499,$D$2*G33,IF($D$2&gt;249,$D$2*G32,IF($D$2&gt;99,$D$2*G31,IF($D$2&gt;49,$D$2*G30,IF($D$2&gt;24,$D$2*G29,IF($D$2&gt;9,$D$2*G28,IF($D$2&gt;4,$D$2*G27,0)))))))))</f>
        <v>0</v>
      </c>
      <c r="H37" s="220">
        <f t="shared" si="3"/>
        <v>0</v>
      </c>
      <c r="I37" s="220">
        <f t="shared" si="3"/>
        <v>0</v>
      </c>
      <c r="J37" s="276"/>
      <c r="L37" s="176">
        <v>2</v>
      </c>
      <c r="M37" s="333">
        <f>$D$2</f>
        <v>0</v>
      </c>
      <c r="N37" s="177">
        <f>IF($P$1=TRUE,20379,IF($D$2&gt;999,20378,IF($D$2&gt;499,20377,IF($D$2&gt;249,20376,IF($D$2&gt;99,20375,IF($D$2&gt;49,20374,IF($D$2&gt;24,20373,IF($D$2&gt;9,20372,IF($D$2&gt;4,20371,0)))))))))</f>
        <v>0</v>
      </c>
      <c r="O37" s="519" t="s">
        <v>967</v>
      </c>
      <c r="P37" s="274">
        <f>IF($P$1=TRUE,H35,IF($D$2&gt;999,H34,IF($D$2&gt;499,H33,IF($D$2&gt;249,H32,IF($D$2&gt;99,H31,IF($D$2&gt;49,H30,IF($D$2&gt;24,H29,IF($D$2&gt;9,H28,IF($D$2&gt;4,H27,0)))))))))</f>
        <v>0</v>
      </c>
      <c r="Q37" s="179">
        <f>IF($P$1=TRUE,$D$2*H35,IF($D$2&gt;999,$D$2*H34,IF($D$2&gt;499,$D$2*H33,IF($D$2&gt;249,$D$2*H32,IF($D$2&gt;99,$D$2*H31,IF($D$2&gt;49,$D$2*H30,IF($D$2&gt;24,$D$2*H29,IF($D$2&gt;9,$D$2*H28,IF($D$2&gt;4,$D$2*H27,0)))))))))</f>
        <v>0</v>
      </c>
      <c r="R37" s="179">
        <f>IF('Total Price List'!$C$5&gt;0,(Q37-(Q37*'Total Price List'!$C$5)),Q37)</f>
        <v>0</v>
      </c>
      <c r="S37" s="200"/>
    </row>
    <row r="38" spans="1:19" ht="14.45" customHeight="1" x14ac:dyDescent="0.25">
      <c r="A38" s="210"/>
      <c r="B38" s="221" t="s">
        <v>811</v>
      </c>
      <c r="C38" s="335">
        <f>IF(C37&gt;0,C37/$D$2,0)</f>
        <v>0</v>
      </c>
      <c r="D38" s="335">
        <f t="shared" ref="D38:E38" si="4">IF(D37&gt;0,D37/$D$2,0)</f>
        <v>0</v>
      </c>
      <c r="E38" s="335">
        <f t="shared" si="4"/>
        <v>0</v>
      </c>
      <c r="F38" s="335"/>
      <c r="G38" s="335">
        <f t="shared" ref="G38:H38" si="5">IF(G37&gt;0,G37/$D$2,0)</f>
        <v>0</v>
      </c>
      <c r="H38" s="335">
        <f t="shared" si="5"/>
        <v>0</v>
      </c>
      <c r="I38" s="335">
        <f>IF(I37&gt;0,I37/$D$2,0)</f>
        <v>0</v>
      </c>
      <c r="J38" s="212"/>
      <c r="L38" s="183"/>
      <c r="M38" s="184"/>
      <c r="N38" s="281"/>
      <c r="O38" s="184" t="s">
        <v>822</v>
      </c>
      <c r="P38" s="184"/>
      <c r="Q38" s="185"/>
      <c r="R38" s="185"/>
      <c r="S38" s="200"/>
    </row>
    <row r="39" spans="1:19" ht="14.45" customHeight="1" x14ac:dyDescent="0.25">
      <c r="A39" s="205"/>
      <c r="B39" s="223"/>
      <c r="C39" s="222"/>
      <c r="D39" s="222"/>
      <c r="E39" s="222"/>
      <c r="F39" s="222"/>
      <c r="G39" s="222"/>
      <c r="H39" s="222"/>
      <c r="I39" s="222"/>
      <c r="J39" s="212"/>
      <c r="L39" s="176">
        <v>3</v>
      </c>
      <c r="M39" s="333">
        <f>$D$2</f>
        <v>0</v>
      </c>
      <c r="N39" s="177">
        <f>IF($P$1=TRUE,20389,IF($D$2&gt;999,20388,IF($D$2&gt;499,20387,IF($D$2&gt;249,20386,IF($D$2&gt;99,20385,IF($D$2&gt;49,20384,IF($D$2&gt;24,20383,IF($D$2&gt;9,20382,IF($D$2&gt;4,20381,0)))))))))</f>
        <v>0</v>
      </c>
      <c r="O39" s="519" t="s">
        <v>967</v>
      </c>
      <c r="P39" s="274">
        <f>IF($P$1=TRUE,I35,IF($D$2&gt;999,I34,IF($D$2&gt;499,I33,IF($D$2&gt;249,I32,IF($D$2&gt;99,I31,IF($D$2&gt;49,I30,IF($D$2&gt;24,I29,IF($D$2&gt;9,I28,IF($D$2&gt;4,I27,0)))))))))</f>
        <v>0</v>
      </c>
      <c r="Q39" s="179">
        <f>IF($P$1=TRUE,$D$2*I35,IF($D$2&gt;999,$D$2*I34,IF($D$2&gt;499,$D$2*I33,IF($D$2&gt;249,$D$2*I32,IF($D$2&gt;99,$D$2*I31,IF($D$2&gt;49,$D$2*I30,IF($D$2&gt;24,$D$2*I29,IF($D$2&gt;9,$D$2*I28,IF($D$2&gt;4,$D$2*I27,0)))))))))</f>
        <v>0</v>
      </c>
      <c r="R39" s="179">
        <f>IF('Total Price List'!$C$5&gt;0,(Q39-(Q39*'Total Price List'!$C$5)),Q39)</f>
        <v>0</v>
      </c>
      <c r="S39" s="200"/>
    </row>
    <row r="40" spans="1:19" ht="14.45" customHeight="1" x14ac:dyDescent="0.25">
      <c r="A40" s="224"/>
      <c r="B40" s="225"/>
      <c r="C40" s="226"/>
      <c r="D40" s="226"/>
      <c r="E40" s="226"/>
      <c r="F40" s="226"/>
      <c r="G40" s="226"/>
      <c r="H40" s="226"/>
      <c r="I40" s="226"/>
      <c r="J40" s="227"/>
      <c r="L40" s="187"/>
      <c r="M40" s="188"/>
      <c r="N40" s="285"/>
      <c r="O40" s="188" t="s">
        <v>823</v>
      </c>
      <c r="P40" s="188"/>
      <c r="Q40" s="189"/>
      <c r="R40" s="189"/>
      <c r="S40" s="200"/>
    </row>
    <row r="41" spans="1:19" x14ac:dyDescent="0.25">
      <c r="O41" s="160"/>
      <c r="S41" s="200"/>
    </row>
    <row r="42" spans="1:19" ht="14.45" customHeight="1" x14ac:dyDescent="0.25">
      <c r="A42" s="881" t="s">
        <v>109</v>
      </c>
      <c r="B42" s="882"/>
      <c r="C42" s="882"/>
      <c r="D42" s="882"/>
      <c r="E42" s="882"/>
      <c r="F42" s="882"/>
      <c r="G42" s="882"/>
      <c r="H42" s="882"/>
      <c r="I42" s="882"/>
      <c r="J42" s="883"/>
      <c r="L42" s="884" t="s">
        <v>812</v>
      </c>
      <c r="M42" s="885"/>
      <c r="N42" s="156" t="s">
        <v>815</v>
      </c>
      <c r="O42" s="158" t="s">
        <v>824</v>
      </c>
      <c r="P42" s="156" t="s">
        <v>826</v>
      </c>
      <c r="Q42" s="159" t="s">
        <v>818</v>
      </c>
      <c r="R42" s="159" t="s">
        <v>820</v>
      </c>
      <c r="S42" s="200"/>
    </row>
    <row r="43" spans="1:19" ht="14.45" customHeight="1" x14ac:dyDescent="0.25">
      <c r="A43" s="228"/>
      <c r="B43" s="229"/>
      <c r="C43" s="230" t="s">
        <v>806</v>
      </c>
      <c r="D43" s="231"/>
      <c r="E43" s="231"/>
      <c r="F43" s="231"/>
      <c r="G43" s="230" t="s">
        <v>810</v>
      </c>
      <c r="H43" s="231"/>
      <c r="I43" s="245"/>
      <c r="J43" s="232"/>
      <c r="L43" s="167" t="s">
        <v>814</v>
      </c>
      <c r="M43" s="168" t="s">
        <v>813</v>
      </c>
      <c r="N43" s="169" t="s">
        <v>816</v>
      </c>
      <c r="O43" s="171" t="s">
        <v>109</v>
      </c>
      <c r="P43" s="169" t="s">
        <v>817</v>
      </c>
      <c r="Q43" s="172" t="s">
        <v>819</v>
      </c>
      <c r="R43" s="172" t="s">
        <v>819</v>
      </c>
      <c r="S43" s="200"/>
    </row>
    <row r="44" spans="1:19" ht="14.45" customHeight="1" x14ac:dyDescent="0.25">
      <c r="A44" s="233"/>
      <c r="B44" s="234" t="s">
        <v>805</v>
      </c>
      <c r="C44" s="234" t="s">
        <v>807</v>
      </c>
      <c r="D44" s="234" t="s">
        <v>808</v>
      </c>
      <c r="E44" s="234" t="s">
        <v>809</v>
      </c>
      <c r="F44" s="245"/>
      <c r="G44" s="238" t="s">
        <v>807</v>
      </c>
      <c r="H44" s="238" t="s">
        <v>808</v>
      </c>
      <c r="I44" s="238" t="s">
        <v>809</v>
      </c>
      <c r="J44" s="235"/>
      <c r="L44" s="176">
        <v>1</v>
      </c>
      <c r="M44" s="333">
        <f>$D$2</f>
        <v>0</v>
      </c>
      <c r="N44" s="177">
        <f>IF($P$1=TRUE,20419,IF($D$2&gt;999,20418,IF($D$2&gt;499,20417,IF($D$2&gt;249,20416,IF($D$2&gt;99,20415,IF($D$2&gt;49,20414,IF($D$2&gt;24,20413,IF($D$2&gt;9,20412,IF($D$2&gt;4,20411,0)))))))))</f>
        <v>0</v>
      </c>
      <c r="O44" s="519" t="s">
        <v>109</v>
      </c>
      <c r="P44" s="178">
        <f>IF($P$1=TRUE,C53,IF($D$2&gt;999,C52,IF($D$2&gt;499,C51,IF($D$2&gt;249,C50,IF($D$2&gt;99,C49,IF($D$2&gt;49,C48,IF($D$2&gt;24,C47,IF($D$2&gt;9,C46,IF($D$2&gt;4,C45,0)))))))))</f>
        <v>0</v>
      </c>
      <c r="Q44" s="179">
        <f>IF($P$1=TRUE,$D$2*C53,IF($D$2&gt;999,$D$2*C52,IF($D$2&gt;499,$D$2*C51,IF($D$2&gt;249,$D$2*C50,IF($D$2&gt;99,$D$2*C49,IF($D$2&gt;49,$D$2*C48,IF($D$2&gt;24,$D$2*C47,IF($D$2&gt;9,$D$2*C46,IF($D$2&gt;4,$D$2*C45,0)))))))))</f>
        <v>0</v>
      </c>
      <c r="R44" s="179">
        <f>IF('Total Price List'!$C$4&gt;0,(Q44-(Q44*'Total Price List'!$C$4)),Q44)</f>
        <v>0</v>
      </c>
      <c r="S44" s="200"/>
    </row>
    <row r="45" spans="1:19" ht="14.45" customHeight="1" x14ac:dyDescent="0.25">
      <c r="A45" s="228"/>
      <c r="B45" s="236">
        <v>5</v>
      </c>
      <c r="C45" s="237">
        <f>VLOOKUP(20411,'Total Price List'!$B$8:$J$1194,8,0)</f>
        <v>41.250000000000007</v>
      </c>
      <c r="D45" s="237">
        <f>VLOOKUP(20421,'Total Price List'!$B$8:$J$1194,8,0)</f>
        <v>57.75</v>
      </c>
      <c r="E45" s="237">
        <f>VLOOKUP(20431,'Total Price List'!$B$8:$J$1194,8,0)</f>
        <v>73.425000000000011</v>
      </c>
      <c r="F45" s="245"/>
      <c r="G45" s="277">
        <f>VLOOKUP(20461,'Total Price List'!$B$8:$J$1194,8,0)</f>
        <v>22.000000000000004</v>
      </c>
      <c r="H45" s="277">
        <f>VLOOKUP(20471,'Total Price List'!$B$8:$J$1194,8,0)</f>
        <v>38.500000000000007</v>
      </c>
      <c r="I45" s="277">
        <f>VLOOKUP(20481,'Total Price List'!$B$8:$J$1194,8,0)</f>
        <v>55</v>
      </c>
      <c r="J45" s="235"/>
      <c r="L45" s="183"/>
      <c r="M45" s="184"/>
      <c r="N45" s="281"/>
      <c r="O45" s="184" t="s">
        <v>821</v>
      </c>
      <c r="P45" s="184"/>
      <c r="Q45" s="185"/>
      <c r="R45" s="185"/>
      <c r="S45" s="200"/>
    </row>
    <row r="46" spans="1:19" ht="14.45" customHeight="1" x14ac:dyDescent="0.25">
      <c r="A46" s="228"/>
      <c r="B46" s="236">
        <v>10</v>
      </c>
      <c r="C46" s="237">
        <f>VLOOKUP(20412,'Total Price List'!$B$8:$J$1194,8,0)</f>
        <v>34.650000000000006</v>
      </c>
      <c r="D46" s="237">
        <f>VLOOKUP(20422,'Total Price List'!$B$8:$J$1194,8,0)</f>
        <v>51.150000000000006</v>
      </c>
      <c r="E46" s="237">
        <f>VLOOKUP(20432,'Total Price List'!$B$8:$J$1194,8,0)</f>
        <v>65.175000000000011</v>
      </c>
      <c r="F46" s="245"/>
      <c r="G46" s="277">
        <f>VLOOKUP(20462,'Total Price List'!$B$8:$J$1194,8,0)</f>
        <v>21.560000000000002</v>
      </c>
      <c r="H46" s="277">
        <f>VLOOKUP(20472,'Total Price List'!$B$8:$J$1194,8,0)</f>
        <v>37.730000000000004</v>
      </c>
      <c r="I46" s="277">
        <f>VLOOKUP(20482,'Total Price List'!$B$8:$J$1194,8,0)</f>
        <v>53.900000000000006</v>
      </c>
      <c r="J46" s="235"/>
      <c r="L46" s="176">
        <v>2</v>
      </c>
      <c r="M46" s="333">
        <f>$D$2</f>
        <v>0</v>
      </c>
      <c r="N46" s="177">
        <f>IF($P$1=TRUE,20429,IF($D$2&gt;999,20428,IF($D$2&gt;499,20427,IF($D$2&gt;249,20426,IF($D$2&gt;99,20425,IF($D$2&gt;49,20424,IF($D$2&gt;24,20423,IF($D$2&gt;9,20422,IF($D$2&gt;4,20421,0)))))))))</f>
        <v>0</v>
      </c>
      <c r="O46" s="519" t="s">
        <v>109</v>
      </c>
      <c r="P46" s="178">
        <f>IF($P$1=TRUE,D53,IF($D$2&gt;999,D52,IF($D$2&gt;499,D51,IF($D$2&gt;249,D50,IF($D$2&gt;99,D49,IF($D$2&gt;49,D48,IF($D$2&gt;24,D47,IF($D$2&gt;9,D46,IF($D$2&gt;4,D45,0)))))))))</f>
        <v>0</v>
      </c>
      <c r="Q46" s="179">
        <f>IF($P$1=TRUE,$D$2*D53,IF($D$2&gt;999,$D$2*D52,IF($D$2&gt;499,$D$2*D51,IF($D$2&gt;249,$D$2*D50,IF($D$2&gt;99,$D$2*D49,IF($D$2&gt;49,$D$2*D48,IF($D$2&gt;24,$D$2*D47,IF($D$2&gt;9,$D$2*D46,IF($D$2&gt;4,$D$2*D45,0)))))))))</f>
        <v>0</v>
      </c>
      <c r="R46" s="179">
        <f>IF('Total Price List'!$C$4&gt;0,(Q46-(Q46*'Total Price List'!$C$4)),Q46)</f>
        <v>0</v>
      </c>
      <c r="S46" s="200"/>
    </row>
    <row r="47" spans="1:19" ht="14.45" customHeight="1" x14ac:dyDescent="0.25">
      <c r="A47" s="233"/>
      <c r="B47" s="236">
        <v>25</v>
      </c>
      <c r="C47" s="237">
        <f>VLOOKUP(20413,'Total Price List'!$B$8:$J$1194,8,0)</f>
        <v>27.637500000000003</v>
      </c>
      <c r="D47" s="237">
        <f>VLOOKUP(20423,'Total Price List'!$B$8:$J$1194,8,0)</f>
        <v>39.6</v>
      </c>
      <c r="E47" s="237">
        <f>VLOOKUP(20433,'Total Price List'!$B$8:$J$1194,8,0)</f>
        <v>56.100000000000009</v>
      </c>
      <c r="F47" s="245"/>
      <c r="G47" s="277">
        <f>VLOOKUP(20463,'Total Price List'!$B$8:$J$1194,8,0)</f>
        <v>18.128000000000004</v>
      </c>
      <c r="H47" s="277">
        <f>VLOOKUP(20473,'Total Price List'!$B$8:$J$1194,8,0)</f>
        <v>31.724000000000007</v>
      </c>
      <c r="I47" s="277">
        <f>VLOOKUP(20483,'Total Price List'!$B$8:$J$1194,8,0)</f>
        <v>45.320000000000007</v>
      </c>
      <c r="J47" s="235"/>
      <c r="L47" s="183"/>
      <c r="M47" s="184"/>
      <c r="N47" s="281"/>
      <c r="O47" s="184" t="s">
        <v>822</v>
      </c>
      <c r="P47" s="184"/>
      <c r="Q47" s="185"/>
      <c r="R47" s="185"/>
      <c r="S47" s="200"/>
    </row>
    <row r="48" spans="1:19" ht="14.45" customHeight="1" x14ac:dyDescent="0.25">
      <c r="A48" s="228"/>
      <c r="B48" s="236">
        <v>50</v>
      </c>
      <c r="C48" s="237">
        <f>VLOOKUP(20414,'Total Price List'!$B$8:$J$1194,8,0)</f>
        <v>21.450000000000003</v>
      </c>
      <c r="D48" s="237">
        <f>VLOOKUP(20424,'Total Price List'!$B$8:$J$1194,8,0)</f>
        <v>33</v>
      </c>
      <c r="E48" s="237">
        <f>VLOOKUP(20434,'Total Price List'!$B$8:$J$1194,8,0)</f>
        <v>47.85</v>
      </c>
      <c r="F48" s="240"/>
      <c r="G48" s="277">
        <f>VLOOKUP(20464,'Total Price List'!$B$8:$J$1194,8,0)</f>
        <v>16.984000000000005</v>
      </c>
      <c r="H48" s="277">
        <f>VLOOKUP(20474,'Total Price List'!$B$8:$J$1194,8,0)</f>
        <v>29.722000000000005</v>
      </c>
      <c r="I48" s="277">
        <f>VLOOKUP(20484,'Total Price List'!$B$8:$J$1194,8,0)</f>
        <v>42.460000000000008</v>
      </c>
      <c r="J48" s="278"/>
      <c r="L48" s="176">
        <v>3</v>
      </c>
      <c r="M48" s="333">
        <f>$D$2</f>
        <v>0</v>
      </c>
      <c r="N48" s="177">
        <f>IF($P$1=TRUE,20439,IF($D$2&gt;999,20438,IF($D$2&gt;499,20437,IF($D$2&gt;249,20436,IF($D$2&gt;99,20435,IF($D$2&gt;49,20434,IF($D$2&gt;24,20433,IF($D$2&gt;9,20432,IF($D$2&gt;4,20431,0)))))))))</f>
        <v>0</v>
      </c>
      <c r="O48" s="519" t="s">
        <v>109</v>
      </c>
      <c r="P48" s="178">
        <f>IF($P$1=TRUE,E53,IF($D$2&gt;999,E52,IF($D$2&gt;499,E51,IF($D$2&gt;249,E50,IF($D$2&gt;99,E49,IF($D$2&gt;49,E48,IF($D$2&gt;24,E47,IF($D$2&gt;9,E46,IF($D$2&gt;4,E45,0)))))))))</f>
        <v>0</v>
      </c>
      <c r="Q48" s="179">
        <f>IF($P$1=TRUE,$D$2*E53,IF($D$2&gt;999,$D$2*E52,IF($D$2&gt;499,$D$2*E51,IF($D$2&gt;249,$D$2*E50,IF($D$2&gt;99,$D$2*E49,IF($D$2&gt;49,$D$2*E48,IF($D$2&gt;24,$D$2*E47,IF($D$2&gt;9,$D$2*E46,IF($D$2&gt;4,$D$2*E45,0)))))))))</f>
        <v>0</v>
      </c>
      <c r="R48" s="179">
        <f>IF('Total Price List'!$C$4&gt;0,(Q48-(Q48*'Total Price List'!$C$4)),Q48)</f>
        <v>0</v>
      </c>
      <c r="S48" s="200"/>
    </row>
    <row r="49" spans="1:19" ht="14.45" customHeight="1" x14ac:dyDescent="0.25">
      <c r="A49" s="228"/>
      <c r="B49" s="236">
        <v>100</v>
      </c>
      <c r="C49" s="237">
        <f>VLOOKUP(20415,'Total Price List'!$B$8:$J$1194,8,0)</f>
        <v>18.975000000000001</v>
      </c>
      <c r="D49" s="237">
        <f>VLOOKUP(20425,'Total Price List'!$B$8:$J$1194,8,0)</f>
        <v>28.875</v>
      </c>
      <c r="E49" s="237">
        <f>VLOOKUP(20435,'Total Price List'!$B$8:$J$1194,8,0)</f>
        <v>40.425000000000004</v>
      </c>
      <c r="F49" s="240"/>
      <c r="G49" s="277">
        <f>VLOOKUP(20465,'Total Price List'!$B$8:$J$1194,8,0)</f>
        <v>13.772000000000004</v>
      </c>
      <c r="H49" s="277">
        <f>VLOOKUP(20475,'Total Price List'!$B$8:$J$1194,8,0)</f>
        <v>24.101000000000003</v>
      </c>
      <c r="I49" s="277">
        <f>VLOOKUP(20485,'Total Price List'!$B$8:$J$1194,8,0)</f>
        <v>34.43</v>
      </c>
      <c r="J49" s="278"/>
      <c r="L49" s="187"/>
      <c r="M49" s="188"/>
      <c r="N49" s="285"/>
      <c r="O49" s="188" t="s">
        <v>823</v>
      </c>
      <c r="P49" s="188"/>
      <c r="Q49" s="189"/>
      <c r="R49" s="189"/>
      <c r="S49" s="200"/>
    </row>
    <row r="50" spans="1:19" ht="14.45" customHeight="1" x14ac:dyDescent="0.25">
      <c r="A50" s="233"/>
      <c r="B50" s="236">
        <v>250</v>
      </c>
      <c r="C50" s="237">
        <f>VLOOKUP(20416,'Total Price List'!$B$8:$J$1194,8,0)</f>
        <v>16.5</v>
      </c>
      <c r="D50" s="237">
        <f>VLOOKUP(20426,'Total Price List'!$B$8:$J$1194,8,0)</f>
        <v>24.75</v>
      </c>
      <c r="E50" s="237">
        <f>VLOOKUP(20436,'Total Price List'!$B$8:$J$1194,8,0)</f>
        <v>33.825000000000003</v>
      </c>
      <c r="F50" s="240"/>
      <c r="G50" s="277">
        <f>VLOOKUP(20466,'Total Price List'!$B$8:$J$1194,8,0)</f>
        <v>10.788800000000002</v>
      </c>
      <c r="H50" s="277">
        <f>VLOOKUP(20476,'Total Price List'!$B$8:$J$1194,8,0)</f>
        <v>18.880400000000002</v>
      </c>
      <c r="I50" s="277">
        <f>VLOOKUP(20486,'Total Price List'!$B$8:$J$1194,8,0)</f>
        <v>26.972000000000005</v>
      </c>
      <c r="J50" s="235"/>
      <c r="L50" s="184"/>
      <c r="M50" s="184"/>
      <c r="N50" s="281"/>
      <c r="O50" s="184"/>
      <c r="P50" s="184"/>
      <c r="Q50" s="184"/>
      <c r="R50" s="184"/>
      <c r="S50" s="200"/>
    </row>
    <row r="51" spans="1:19" ht="14.45" customHeight="1" x14ac:dyDescent="0.25">
      <c r="A51" s="228"/>
      <c r="B51" s="236">
        <v>500</v>
      </c>
      <c r="C51" s="237">
        <f>VLOOKUP(20417,'Total Price List'!$B$8:$J$1194,8,0)</f>
        <v>14.850000000000001</v>
      </c>
      <c r="D51" s="237">
        <f>VLOOKUP(20427,'Total Price List'!$B$8:$J$1194,8,0)</f>
        <v>22.275000000000002</v>
      </c>
      <c r="E51" s="237">
        <f>VLOOKUP(20437,'Total Price List'!$B$8:$J$1194,8,0)</f>
        <v>30.525000000000002</v>
      </c>
      <c r="F51" s="240"/>
      <c r="G51" s="277">
        <f>VLOOKUP(20467,'Total Price List'!$B$8:$J$1194,8,0)</f>
        <v>9.3544000000000018</v>
      </c>
      <c r="H51" s="277">
        <f>VLOOKUP(20477,'Total Price List'!$B$8:$J$1194,8,0)</f>
        <v>16.370200000000004</v>
      </c>
      <c r="I51" s="277">
        <f>VLOOKUP(20487,'Total Price List'!$B$8:$J$1194,8,0)</f>
        <v>23.386000000000006</v>
      </c>
      <c r="J51" s="278"/>
      <c r="L51" s="884" t="s">
        <v>810</v>
      </c>
      <c r="M51" s="885"/>
      <c r="N51" s="156" t="s">
        <v>815</v>
      </c>
      <c r="O51" s="158" t="s">
        <v>824</v>
      </c>
      <c r="P51" s="156" t="s">
        <v>826</v>
      </c>
      <c r="Q51" s="159" t="s">
        <v>818</v>
      </c>
      <c r="R51" s="159" t="s">
        <v>820</v>
      </c>
      <c r="S51" s="200"/>
    </row>
    <row r="52" spans="1:19" ht="14.45" customHeight="1" x14ac:dyDescent="0.25">
      <c r="A52" s="233"/>
      <c r="B52" s="236">
        <v>1000</v>
      </c>
      <c r="C52" s="237">
        <f>VLOOKUP(20418,'Total Price List'!$B$8:$J$1194,8,0)</f>
        <v>13.200000000000001</v>
      </c>
      <c r="D52" s="237">
        <f>VLOOKUP(20428,'Total Price List'!$B$8:$J$1194,8,0)</f>
        <v>20.625000000000004</v>
      </c>
      <c r="E52" s="237">
        <f>VLOOKUP(20438,'Total Price List'!$B$8:$J$1194,8,0)</f>
        <v>27.225000000000001</v>
      </c>
      <c r="F52" s="240"/>
      <c r="G52" s="277">
        <f>VLOOKUP(20468,'Total Price List'!$B$8:$J$1194,8,0)</f>
        <v>8.0080000000000009</v>
      </c>
      <c r="H52" s="277">
        <f>VLOOKUP(20478,'Total Price List'!$B$8:$J$1194,8,0)</f>
        <v>14.872</v>
      </c>
      <c r="I52" s="277">
        <f>VLOOKUP(20488,'Total Price List'!$B$8:$J$1194,8,0)</f>
        <v>20.020000000000003</v>
      </c>
      <c r="J52" s="235"/>
      <c r="L52" s="167" t="s">
        <v>814</v>
      </c>
      <c r="M52" s="168" t="s">
        <v>813</v>
      </c>
      <c r="N52" s="169" t="s">
        <v>816</v>
      </c>
      <c r="O52" s="171" t="s">
        <v>109</v>
      </c>
      <c r="P52" s="169" t="s">
        <v>817</v>
      </c>
      <c r="Q52" s="172" t="s">
        <v>819</v>
      </c>
      <c r="R52" s="172" t="s">
        <v>819</v>
      </c>
      <c r="S52" s="200"/>
    </row>
    <row r="53" spans="1:19" ht="14.45" customHeight="1" x14ac:dyDescent="0.25">
      <c r="A53" s="233"/>
      <c r="B53" s="238" t="s">
        <v>827</v>
      </c>
      <c r="C53" s="237">
        <f>VLOOKUP(20419,'Total Price List'!$B$8:$J$1194,8,0)</f>
        <v>12</v>
      </c>
      <c r="D53" s="237">
        <f>VLOOKUP(20429,'Total Price List'!$B$8:$J$1194,8,0)</f>
        <v>20</v>
      </c>
      <c r="E53" s="237">
        <f>VLOOKUP(20439,'Total Price List'!$B$8:$J$1194,8,0)</f>
        <v>28</v>
      </c>
      <c r="F53" s="240"/>
      <c r="G53" s="277">
        <f>VLOOKUP(20469,'Total Price List'!$B$8:$J$1194,8,0)</f>
        <v>10</v>
      </c>
      <c r="H53" s="277">
        <f>VLOOKUP(20479,'Total Price List'!$B$8:$J$1194,8,0)</f>
        <v>17.5</v>
      </c>
      <c r="I53" s="277">
        <f>VLOOKUP(20489,'Total Price List'!$B$8:$J$1194,8,0)</f>
        <v>25</v>
      </c>
      <c r="J53" s="235"/>
      <c r="L53" s="176">
        <v>1</v>
      </c>
      <c r="M53" s="333">
        <f>$D$2</f>
        <v>0</v>
      </c>
      <c r="N53" s="177">
        <f>IF($P$1=TRUE,20469,IF($D$2&gt;999,20468,IF($D$2&gt;499,20467,IF($D$2&gt;249,20466,IF($D$2&gt;99,20465,IF($D$2&gt;49,20464,IF($D$2&gt;24,20463,IF($D$2&gt;9,20462,IF($D$2&gt;4,20461,0)))))))))</f>
        <v>0</v>
      </c>
      <c r="O53" s="519" t="s">
        <v>505</v>
      </c>
      <c r="P53" s="274">
        <f>IF($P$1=TRUE,G53,IF($D$2&gt;999,G52,IF($D$2&gt;499,G51,IF($D$2&gt;249,G50,IF($D$2&gt;99,G49,IF($D$2&gt;49,G48,IF($D$2&gt;24,G47,IF($D$2&gt;9,G46,IF($D$2&gt;4,G45,0)))))))))</f>
        <v>0</v>
      </c>
      <c r="Q53" s="179">
        <f>IF($P$1=TRUE,$D$2*G53,IF($D$2&gt;999,$D$2*G52,IF($D$2&gt;499,$D$2*G51,IF($D$2&gt;249,$D$2*G50,IF($D$2&gt;99,$D$2*G49,IF($D$2&gt;49,$D$2*G48,IF($D$2&gt;24,$D$2*G47,IF($D$2&gt;9,$D$2*G46,IF($D$2&gt;4,$D$2*G45,0)))))))))</f>
        <v>0</v>
      </c>
      <c r="R53" s="179">
        <f>IF('Total Price List'!$C$5&gt;0,(Q53-(Q53*'Total Price List'!$C$5)),Q53)</f>
        <v>0</v>
      </c>
      <c r="S53" s="200"/>
    </row>
    <row r="54" spans="1:19" ht="14.45" customHeight="1" x14ac:dyDescent="0.25">
      <c r="A54" s="233"/>
      <c r="B54" s="238"/>
      <c r="C54" s="239"/>
      <c r="D54" s="240"/>
      <c r="E54" s="241"/>
      <c r="F54" s="241"/>
      <c r="G54" s="245"/>
      <c r="H54" s="245"/>
      <c r="I54" s="245"/>
      <c r="J54" s="235"/>
      <c r="L54" s="183"/>
      <c r="M54" s="184"/>
      <c r="N54" s="281"/>
      <c r="O54" s="184" t="s">
        <v>821</v>
      </c>
      <c r="P54" s="184"/>
      <c r="Q54" s="185"/>
      <c r="R54" s="185"/>
      <c r="S54" s="200"/>
    </row>
    <row r="55" spans="1:19" ht="14.45" customHeight="1" x14ac:dyDescent="0.25">
      <c r="A55" s="228"/>
      <c r="B55" s="242">
        <f>$D$2</f>
        <v>0</v>
      </c>
      <c r="C55" s="243">
        <f>IF($P$1=TRUE,$D$2*C53,IF($D$2&gt;999,$D$2*C52,IF($D$2&gt;499,$D$2*C51,IF($D$2&gt;249,$D$2*C50,IF($D$2&gt;99,$D$2*C49,IF($D$2&gt;49,$D$2*C48,IF($D$2&gt;24,$D$2*C47,IF($D$2&gt;9,$D$2*C46,IF($D$2&gt;4,$D$2*C45,0)))))))))</f>
        <v>0</v>
      </c>
      <c r="D55" s="243">
        <f t="shared" ref="D55:E55" si="6">IF($P$1=TRUE,$D$2*D53,IF($D$2&gt;999,$D$2*D52,IF($D$2&gt;499,$D$2*D51,IF($D$2&gt;249,$D$2*D50,IF($D$2&gt;99,$D$2*D49,IF($D$2&gt;49,$D$2*D48,IF($D$2&gt;24,$D$2*D47,IF($D$2&gt;9,$D$2*D46,IF($D$2&gt;4,$D$2*D45,0)))))))))</f>
        <v>0</v>
      </c>
      <c r="E55" s="243">
        <f t="shared" si="6"/>
        <v>0</v>
      </c>
      <c r="F55" s="243"/>
      <c r="G55" s="243">
        <f t="shared" ref="G55:I55" si="7">IF($P$1=TRUE,$D$2*G53,IF($D$2&gt;999,$D$2*G52,IF($D$2&gt;499,$D$2*G51,IF($D$2&gt;249,$D$2*G50,IF($D$2&gt;99,$D$2*G49,IF($D$2&gt;49,$D$2*G48,IF($D$2&gt;24,$D$2*G47,IF($D$2&gt;9,$D$2*G46,IF($D$2&gt;4,$D$2*G45,0)))))))))</f>
        <v>0</v>
      </c>
      <c r="H55" s="243">
        <f t="shared" si="7"/>
        <v>0</v>
      </c>
      <c r="I55" s="243">
        <f t="shared" si="7"/>
        <v>0</v>
      </c>
      <c r="J55" s="278"/>
      <c r="L55" s="176">
        <v>2</v>
      </c>
      <c r="M55" s="333">
        <f>$D$2</f>
        <v>0</v>
      </c>
      <c r="N55" s="177">
        <f>IF($P$1=TRUE,20479,IF($D$2&gt;999,20478,IF($D$2&gt;499,20477,IF($D$2&gt;249,20476,IF($D$2&gt;99,20475,IF($D$2&gt;49,20474,IF($D$2&gt;24,20473,IF($D$2&gt;9,20472,IF($D$2&gt;4,20471,0)))))))))</f>
        <v>0</v>
      </c>
      <c r="O55" s="519" t="s">
        <v>505</v>
      </c>
      <c r="P55" s="274">
        <f>IF($P$1=TRUE,H53,IF($D$2&gt;999,H52,IF($D$2&gt;499,H51,IF($D$2&gt;249,H50,IF($D$2&gt;99,H49,IF($D$2&gt;49,H48,IF($D$2&gt;24,H47,IF($D$2&gt;9,H46,IF($D$2&gt;4,H45,0)))))))))</f>
        <v>0</v>
      </c>
      <c r="Q55" s="179">
        <f>IF($P$1=TRUE,$D$2*H53,IF($D$2&gt;999,$D$2*H52,IF($D$2&gt;499,$D$2*H51,IF($D$2&gt;249,$D$2*H50,IF($D$2&gt;99,$D$2*H49,IF($D$2&gt;49,$D$2*H48,IF($D$2&gt;24,$D$2*H47,IF($D$2&gt;9,$D$2*H46,IF($D$2&gt;4,$D$2*H45,0)))))))))</f>
        <v>0</v>
      </c>
      <c r="R55" s="179">
        <f>IF('Total Price List'!$C$5&gt;0,(Q55-(Q55*'Total Price List'!$C$5)),Q55)</f>
        <v>0</v>
      </c>
      <c r="S55" s="200"/>
    </row>
    <row r="56" spans="1:19" ht="14.45" customHeight="1" x14ac:dyDescent="0.25">
      <c r="A56" s="233"/>
      <c r="B56" s="244" t="s">
        <v>811</v>
      </c>
      <c r="C56" s="336">
        <f>IF(C55&gt;0,C55/$D$2,0)</f>
        <v>0</v>
      </c>
      <c r="D56" s="336">
        <f t="shared" ref="D56:E56" si="8">IF(D55&gt;0,D55/$D$2,0)</f>
        <v>0</v>
      </c>
      <c r="E56" s="336">
        <f t="shared" si="8"/>
        <v>0</v>
      </c>
      <c r="F56" s="336"/>
      <c r="G56" s="336">
        <f t="shared" ref="G56:H56" si="9">IF(G55&gt;0,G55/$D$2,0)</f>
        <v>0</v>
      </c>
      <c r="H56" s="336">
        <f t="shared" si="9"/>
        <v>0</v>
      </c>
      <c r="I56" s="336">
        <f>IF(I55&gt;0,I55/$D$2,0)</f>
        <v>0</v>
      </c>
      <c r="J56" s="235"/>
      <c r="L56" s="183"/>
      <c r="M56" s="184"/>
      <c r="N56" s="281"/>
      <c r="O56" s="184" t="s">
        <v>822</v>
      </c>
      <c r="P56" s="184"/>
      <c r="Q56" s="185"/>
      <c r="R56" s="185"/>
      <c r="S56" s="200"/>
    </row>
    <row r="57" spans="1:19" ht="14.45" customHeight="1" x14ac:dyDescent="0.25">
      <c r="A57" s="228"/>
      <c r="B57" s="246"/>
      <c r="C57" s="245"/>
      <c r="D57" s="245"/>
      <c r="E57" s="245"/>
      <c r="F57" s="245"/>
      <c r="G57" s="245"/>
      <c r="H57" s="245"/>
      <c r="I57" s="245"/>
      <c r="J57" s="235"/>
      <c r="L57" s="176">
        <v>3</v>
      </c>
      <c r="M57" s="333">
        <f>$D$2</f>
        <v>0</v>
      </c>
      <c r="N57" s="177">
        <f>IF($P$1=TRUE,20489,IF($D$2&gt;999,20488,IF($D$2&gt;499,20487,IF($D$2&gt;249,20486,IF($D$2&gt;99,20485,IF($D$2&gt;49,20484,IF($D$2&gt;24,20483,IF($D$2&gt;9,20482,IF($D$2&gt;4,20481,0)))))))))</f>
        <v>0</v>
      </c>
      <c r="O57" s="519" t="s">
        <v>505</v>
      </c>
      <c r="P57" s="274">
        <f>IF($P$1=TRUE,I53,IF($D$2&gt;999,I52,IF($D$2&gt;499,I51,IF($D$2&gt;249,I50,IF($D$2&gt;99,I49,IF($D$2&gt;49,I48,IF($D$2&gt;24,I47,IF($D$2&gt;9,I46,IF($D$2&gt;4,I45,0)))))))))</f>
        <v>0</v>
      </c>
      <c r="Q57" s="179">
        <f>IF($P$1=TRUE,$D$2*I53,IF($D$2&gt;999,$D$2*I52,IF($D$2&gt;499,$D$2*I51,IF($D$2&gt;249,$D$2*I50,IF($D$2&gt;99,$D$2*I49,IF($D$2&gt;49,$D$2*I48,IF($D$2&gt;24,$D$2*I47,IF($D$2&gt;9,$D$2*I46,IF($D$2&gt;4,$D$2*I45,0)))))))))</f>
        <v>0</v>
      </c>
      <c r="R57" s="179">
        <f>IF('Total Price List'!$C$5&gt;0,(Q57-(Q57*'Total Price List'!$C$5)),Q57)</f>
        <v>0</v>
      </c>
      <c r="S57" s="200"/>
    </row>
    <row r="58" spans="1:19" ht="14.45" customHeight="1" x14ac:dyDescent="0.25">
      <c r="A58" s="247"/>
      <c r="B58" s="248"/>
      <c r="C58" s="249"/>
      <c r="D58" s="249"/>
      <c r="E58" s="249"/>
      <c r="F58" s="249"/>
      <c r="G58" s="249"/>
      <c r="H58" s="249"/>
      <c r="I58" s="249"/>
      <c r="J58" s="250"/>
      <c r="L58" s="187"/>
      <c r="M58" s="188"/>
      <c r="N58" s="285"/>
      <c r="O58" s="188" t="s">
        <v>823</v>
      </c>
      <c r="P58" s="188"/>
      <c r="Q58" s="189"/>
      <c r="R58" s="189"/>
      <c r="S58" s="200"/>
    </row>
    <row r="59" spans="1:19" x14ac:dyDescent="0.25">
      <c r="O59" s="160"/>
      <c r="S59" s="200"/>
    </row>
    <row r="60" spans="1:19" ht="14.45" customHeight="1" x14ac:dyDescent="0.25">
      <c r="A60" s="899" t="s">
        <v>950</v>
      </c>
      <c r="B60" s="900"/>
      <c r="C60" s="900"/>
      <c r="D60" s="900"/>
      <c r="E60" s="900"/>
      <c r="F60" s="900"/>
      <c r="G60" s="900"/>
      <c r="H60" s="900"/>
      <c r="I60" s="900"/>
      <c r="J60" s="901"/>
      <c r="L60" s="884" t="s">
        <v>812</v>
      </c>
      <c r="M60" s="885"/>
      <c r="N60" s="156" t="s">
        <v>815</v>
      </c>
      <c r="O60" s="158" t="s">
        <v>824</v>
      </c>
      <c r="P60" s="156" t="s">
        <v>826</v>
      </c>
      <c r="Q60" s="159" t="s">
        <v>818</v>
      </c>
      <c r="R60" s="159" t="s">
        <v>820</v>
      </c>
      <c r="S60" s="200"/>
    </row>
    <row r="61" spans="1:19" ht="14.45" customHeight="1" x14ac:dyDescent="0.25">
      <c r="A61" s="251"/>
      <c r="B61" s="252"/>
      <c r="C61" s="253" t="s">
        <v>806</v>
      </c>
      <c r="D61" s="254"/>
      <c r="E61" s="254"/>
      <c r="F61" s="254"/>
      <c r="G61" s="253" t="s">
        <v>810</v>
      </c>
      <c r="H61" s="254"/>
      <c r="I61" s="267"/>
      <c r="J61" s="255"/>
      <c r="L61" s="167" t="s">
        <v>814</v>
      </c>
      <c r="M61" s="168" t="s">
        <v>813</v>
      </c>
      <c r="N61" s="169" t="s">
        <v>816</v>
      </c>
      <c r="O61" s="171" t="s">
        <v>950</v>
      </c>
      <c r="P61" s="169" t="s">
        <v>817</v>
      </c>
      <c r="Q61" s="172" t="s">
        <v>819</v>
      </c>
      <c r="R61" s="172" t="s">
        <v>819</v>
      </c>
      <c r="S61" s="200"/>
    </row>
    <row r="62" spans="1:19" ht="14.45" customHeight="1" x14ac:dyDescent="0.25">
      <c r="A62" s="256"/>
      <c r="B62" s="257" t="s">
        <v>805</v>
      </c>
      <c r="C62" s="257" t="s">
        <v>807</v>
      </c>
      <c r="D62" s="257" t="s">
        <v>808</v>
      </c>
      <c r="E62" s="257" t="s">
        <v>809</v>
      </c>
      <c r="F62" s="267"/>
      <c r="G62" s="261" t="s">
        <v>807</v>
      </c>
      <c r="H62" s="261" t="s">
        <v>808</v>
      </c>
      <c r="I62" s="261" t="s">
        <v>809</v>
      </c>
      <c r="J62" s="258"/>
      <c r="L62" s="176">
        <v>1</v>
      </c>
      <c r="M62" s="333">
        <f>$D$2</f>
        <v>0</v>
      </c>
      <c r="N62" s="177">
        <f>IF($P$1=TRUE,20519,IF($D$2&gt;999,20518,IF($D$2&gt;499,20517,IF($D$2&gt;249,20516,IF($D$2&gt;99,20515,IF($D$2&gt;49,20514,IF($D$2&gt;24,20513,IF($D$2&gt;9,20512,IF($D$2&gt;4,20511,0)))))))))</f>
        <v>0</v>
      </c>
      <c r="O62" s="519" t="s">
        <v>950</v>
      </c>
      <c r="P62" s="178">
        <f>IF($P$1=TRUE,C71,IF($D$2&gt;999,C70,IF($D$2&gt;499,C69,IF($D$2&gt;249,C68,IF($D$2&gt;99,C67,IF($D$2&gt;49,C66,IF($D$2&gt;24,C65,IF($D$2&gt;9,C64,IF($D$2&gt;4,C63,0)))))))))</f>
        <v>0</v>
      </c>
      <c r="Q62" s="179">
        <f>IF($P$1=TRUE,$D$2*C71,IF($D$2&gt;999,$D$2*C70,IF($D$2&gt;499,$D$2*C69,IF($D$2&gt;249,$D$2*C68,IF($D$2&gt;99,$D$2*C67,IF($D$2&gt;49,$D$2*C66,IF($D$2&gt;24,$D$2*C65,IF($D$2&gt;9,$D$2*C64,IF($D$2&gt;4,$D$2*C63,0)))))))))</f>
        <v>0</v>
      </c>
      <c r="R62" s="179">
        <f>IF('Total Price List'!$C$4&gt;0,(Q62-(Q62*'Total Price List'!$C$4)),Q62)</f>
        <v>0</v>
      </c>
      <c r="S62" s="200"/>
    </row>
    <row r="63" spans="1:19" ht="14.45" customHeight="1" x14ac:dyDescent="0.25">
      <c r="A63" s="251"/>
      <c r="B63" s="259">
        <v>5</v>
      </c>
      <c r="C63" s="260">
        <f>VLOOKUP(20511,'Total Price List'!$B$8:$J$1194,8,0)</f>
        <v>49.5</v>
      </c>
      <c r="D63" s="260">
        <f>VLOOKUP(20521,'Total Price List'!$B$8:$J$1194,8,0)</f>
        <v>69.3</v>
      </c>
      <c r="E63" s="260">
        <f>VLOOKUP(20531,'Total Price List'!$B$8:$J$1194,8,0)</f>
        <v>88.11</v>
      </c>
      <c r="F63" s="267"/>
      <c r="G63" s="279">
        <f>VLOOKUP(20561,'Total Price List'!$B$8:$J$1194,8,0)</f>
        <v>26.400000000000002</v>
      </c>
      <c r="H63" s="279">
        <f>VLOOKUP(20571,'Total Price List'!$B$8:$J$1194,8,0)</f>
        <v>46.20000000000001</v>
      </c>
      <c r="I63" s="279">
        <f>VLOOKUP(20581,'Total Price List'!$B$8:$J$1194,8,0)</f>
        <v>66</v>
      </c>
      <c r="J63" s="258"/>
      <c r="L63" s="183"/>
      <c r="M63" s="184"/>
      <c r="N63" s="281"/>
      <c r="O63" s="184" t="s">
        <v>821</v>
      </c>
      <c r="P63" s="184"/>
      <c r="Q63" s="185"/>
      <c r="R63" s="185"/>
      <c r="S63" s="200"/>
    </row>
    <row r="64" spans="1:19" ht="14.45" customHeight="1" x14ac:dyDescent="0.25">
      <c r="A64" s="251"/>
      <c r="B64" s="259">
        <v>10</v>
      </c>
      <c r="C64" s="260">
        <f>VLOOKUP(20512,'Total Price List'!$B$8:$J$1194,8,0)</f>
        <v>41.580000000000005</v>
      </c>
      <c r="D64" s="260">
        <f>VLOOKUP(20522,'Total Price List'!$B$8:$J$1194,8,0)</f>
        <v>61.38</v>
      </c>
      <c r="E64" s="260">
        <f>VLOOKUP(20532,'Total Price List'!$B$8:$J$1194,8,0)</f>
        <v>78.210000000000008</v>
      </c>
      <c r="F64" s="267"/>
      <c r="G64" s="279">
        <f>VLOOKUP(20562,'Total Price List'!$B$8:$J$1194,8,0)</f>
        <v>25.872000000000003</v>
      </c>
      <c r="H64" s="279">
        <f>VLOOKUP(20572,'Total Price List'!$B$8:$J$1194,8,0)</f>
        <v>45.276000000000003</v>
      </c>
      <c r="I64" s="279">
        <f>VLOOKUP(20582,'Total Price List'!$B$8:$J$1194,8,0)</f>
        <v>64.679999999999993</v>
      </c>
      <c r="J64" s="258"/>
      <c r="L64" s="176">
        <v>2</v>
      </c>
      <c r="M64" s="333">
        <f>$D$2</f>
        <v>0</v>
      </c>
      <c r="N64" s="177">
        <f>IF($P$1=TRUE,20529,IF($D$2&gt;999,20528,IF($D$2&gt;499,20527,IF($D$2&gt;249,20526,IF($D$2&gt;99,20525,IF($D$2&gt;49,20524,IF($D$2&gt;24,20523,IF($D$2&gt;9,20522,IF($D$2&gt;4,20521,0)))))))))</f>
        <v>0</v>
      </c>
      <c r="O64" s="519" t="s">
        <v>950</v>
      </c>
      <c r="P64" s="178">
        <f>IF($P$1=TRUE,D71,IF($D$2&gt;999,D70,IF($D$2&gt;499,D69,IF($D$2&gt;249,D68,IF($D$2&gt;99,D67,IF($D$2&gt;49,D66,IF($D$2&gt;24,D65,IF($D$2&gt;9,D64,IF($D$2&gt;4,D63,0)))))))))</f>
        <v>0</v>
      </c>
      <c r="Q64" s="179">
        <f>IF($P$1=TRUE,$D$2*D71,IF($D$2&gt;999,$D$2*D70,IF($D$2&gt;499,$D$2*D69,IF($D$2&gt;249,$D$2*D68,IF($D$2&gt;99,$D$2*D67,IF($D$2&gt;49,$D$2*D66,IF($D$2&gt;24,$D$2*D65,IF($D$2&gt;9,$D$2*D64,IF($D$2&gt;4,$D$2*D63,0)))))))))</f>
        <v>0</v>
      </c>
      <c r="R64" s="179">
        <f>IF('Total Price List'!$C$4&gt;0,(Q64-(Q64*'Total Price List'!$C$4)),Q64)</f>
        <v>0</v>
      </c>
      <c r="S64" s="200"/>
    </row>
    <row r="65" spans="1:19" ht="14.45" customHeight="1" x14ac:dyDescent="0.25">
      <c r="A65" s="256"/>
      <c r="B65" s="259">
        <v>25</v>
      </c>
      <c r="C65" s="260">
        <f>VLOOKUP(20513,'Total Price List'!$B$8:$J$1194,8,0)</f>
        <v>33.164999999999999</v>
      </c>
      <c r="D65" s="260">
        <f>VLOOKUP(20523,'Total Price List'!$B$8:$J$1194,8,0)</f>
        <v>47.519999999999996</v>
      </c>
      <c r="E65" s="260">
        <f>VLOOKUP(20533,'Total Price List'!$B$8:$J$1194,8,0)</f>
        <v>67.320000000000007</v>
      </c>
      <c r="F65" s="267"/>
      <c r="G65" s="279">
        <f>VLOOKUP(20563,'Total Price List'!$B$8:$J$1194,8,0)</f>
        <v>21.753600000000006</v>
      </c>
      <c r="H65" s="279">
        <f>VLOOKUP(20573,'Total Price List'!$B$8:$J$1194,8,0)</f>
        <v>38.068800000000003</v>
      </c>
      <c r="I65" s="279">
        <f>VLOOKUP(20583,'Total Price List'!$B$8:$J$1194,8,0)</f>
        <v>54.384000000000007</v>
      </c>
      <c r="J65" s="258"/>
      <c r="L65" s="183"/>
      <c r="M65" s="184"/>
      <c r="N65" s="281"/>
      <c r="O65" s="184" t="s">
        <v>822</v>
      </c>
      <c r="P65" s="184"/>
      <c r="Q65" s="185"/>
      <c r="R65" s="185"/>
      <c r="S65" s="200"/>
    </row>
    <row r="66" spans="1:19" ht="14.45" customHeight="1" x14ac:dyDescent="0.25">
      <c r="A66" s="251"/>
      <c r="B66" s="259">
        <v>50</v>
      </c>
      <c r="C66" s="260">
        <f>VLOOKUP(20514,'Total Price List'!$B$8:$J$1194,8,0)</f>
        <v>25.740000000000002</v>
      </c>
      <c r="D66" s="260">
        <f>VLOOKUP(20524,'Total Price List'!$B$8:$J$1194,8,0)</f>
        <v>39.599999999999994</v>
      </c>
      <c r="E66" s="260">
        <f>VLOOKUP(20534,'Total Price List'!$B$8:$J$1194,8,0)</f>
        <v>57.42</v>
      </c>
      <c r="F66" s="262"/>
      <c r="G66" s="279">
        <f>VLOOKUP(20564,'Total Price List'!$B$8:$J$1194,8,0)</f>
        <v>20.380800000000004</v>
      </c>
      <c r="H66" s="279">
        <f>VLOOKUP(20574,'Total Price List'!$B$8:$J$1194,8,0)</f>
        <v>35.666400000000003</v>
      </c>
      <c r="I66" s="279">
        <f>VLOOKUP(20584,'Total Price List'!$B$8:$J$1194,8,0)</f>
        <v>50.951999999999998</v>
      </c>
      <c r="J66" s="280"/>
      <c r="L66" s="176">
        <v>3</v>
      </c>
      <c r="M66" s="333">
        <f>$D$2</f>
        <v>0</v>
      </c>
      <c r="N66" s="177">
        <f>IF($P$1=TRUE,20539,IF($D$2&gt;999,20538,IF($D$2&gt;499,20537,IF($D$2&gt;249,20536,IF($D$2&gt;99,20535,IF($D$2&gt;49,20534,IF($D$2&gt;24,20533,IF($D$2&gt;9,20532,IF($D$2&gt;4,20531,0)))))))))</f>
        <v>0</v>
      </c>
      <c r="O66" s="519" t="s">
        <v>950</v>
      </c>
      <c r="P66" s="178">
        <f>IF($P$1=TRUE,E71,IF($D$2&gt;999,E70,IF($D$2&gt;499,E69,IF($D$2&gt;249,E68,IF($D$2&gt;99,E67,IF($D$2&gt;49,E66,IF($D$2&gt;24,E65,IF($D$2&gt;9,E64,IF($D$2&gt;4,E63,0)))))))))</f>
        <v>0</v>
      </c>
      <c r="Q66" s="179">
        <f>IF($P$1=TRUE,$D$2*E71,IF($D$2&gt;999,$D$2*E70,IF($D$2&gt;499,$D$2*E69,IF($D$2&gt;249,$D$2*E68,IF($D$2&gt;99,$D$2*E67,IF($D$2&gt;49,$D$2*E66,IF($D$2&gt;24,$D$2*E65,IF($D$2&gt;9,$D$2*E64,IF($D$2&gt;4,$D$2*E63,0)))))))))</f>
        <v>0</v>
      </c>
      <c r="R66" s="179">
        <f>IF('Total Price List'!$C$4&gt;0,(Q66-(Q66*'Total Price List'!$C$4)),Q66)</f>
        <v>0</v>
      </c>
      <c r="S66" s="200"/>
    </row>
    <row r="67" spans="1:19" ht="14.45" customHeight="1" x14ac:dyDescent="0.25">
      <c r="A67" s="251"/>
      <c r="B67" s="259">
        <v>100</v>
      </c>
      <c r="C67" s="260">
        <f>VLOOKUP(20515,'Total Price List'!$B$8:$J$1194,8,0)</f>
        <v>22.77</v>
      </c>
      <c r="D67" s="260">
        <f>VLOOKUP(20525,'Total Price List'!$B$8:$J$1194,8,0)</f>
        <v>34.65</v>
      </c>
      <c r="E67" s="260">
        <f>VLOOKUP(20535,'Total Price List'!$B$8:$J$1194,8,0)</f>
        <v>48.510000000000005</v>
      </c>
      <c r="F67" s="262"/>
      <c r="G67" s="279">
        <f>VLOOKUP(20565,'Total Price List'!$B$8:$J$1194,8,0)</f>
        <v>16.526400000000006</v>
      </c>
      <c r="H67" s="279">
        <f>VLOOKUP(20575,'Total Price List'!$B$8:$J$1194,8,0)</f>
        <v>28.921199999999999</v>
      </c>
      <c r="I67" s="279">
        <f>VLOOKUP(20585,'Total Price List'!$B$8:$J$1194,8,0)</f>
        <v>41.316000000000003</v>
      </c>
      <c r="J67" s="280"/>
      <c r="L67" s="187"/>
      <c r="M67" s="188"/>
      <c r="N67" s="285"/>
      <c r="O67" s="188" t="s">
        <v>823</v>
      </c>
      <c r="P67" s="188"/>
      <c r="Q67" s="189"/>
      <c r="R67" s="189"/>
      <c r="S67" s="200"/>
    </row>
    <row r="68" spans="1:19" ht="14.45" customHeight="1" x14ac:dyDescent="0.25">
      <c r="A68" s="256"/>
      <c r="B68" s="259">
        <v>250</v>
      </c>
      <c r="C68" s="260">
        <f>VLOOKUP(20516,'Total Price List'!$B$8:$J$1194,8,0)</f>
        <v>19.799999999999997</v>
      </c>
      <c r="D68" s="260">
        <f>VLOOKUP(20526,'Total Price List'!$B$8:$J$1194,8,0)</f>
        <v>29.700000000000003</v>
      </c>
      <c r="E68" s="260">
        <f>VLOOKUP(20536,'Total Price List'!$B$8:$J$1194,8,0)</f>
        <v>40.589999999999996</v>
      </c>
      <c r="F68" s="262"/>
      <c r="G68" s="279">
        <f>VLOOKUP(20566,'Total Price List'!$B$8:$J$1194,8,0)</f>
        <v>12.94656</v>
      </c>
      <c r="H68" s="279">
        <f>VLOOKUP(20576,'Total Price List'!$B$8:$J$1194,8,0)</f>
        <v>22.656480000000002</v>
      </c>
      <c r="I68" s="279">
        <f>VLOOKUP(20586,'Total Price List'!$B$8:$J$1194,8,0)</f>
        <v>32.366400000000006</v>
      </c>
      <c r="J68" s="258"/>
      <c r="L68" s="184"/>
      <c r="M68" s="184"/>
      <c r="N68" s="281"/>
      <c r="O68" s="184"/>
      <c r="P68" s="184"/>
      <c r="Q68" s="184"/>
      <c r="R68" s="184"/>
      <c r="S68" s="200"/>
    </row>
    <row r="69" spans="1:19" ht="14.45" customHeight="1" x14ac:dyDescent="0.25">
      <c r="A69" s="251"/>
      <c r="B69" s="259">
        <v>500</v>
      </c>
      <c r="C69" s="260">
        <f>VLOOKUP(20517,'Total Price List'!$B$8:$J$1194,8,0)</f>
        <v>17.82</v>
      </c>
      <c r="D69" s="260">
        <f>VLOOKUP(20527,'Total Price List'!$B$8:$J$1194,8,0)</f>
        <v>26.73</v>
      </c>
      <c r="E69" s="260">
        <f>VLOOKUP(20537,'Total Price List'!$B$8:$J$1194,8,0)</f>
        <v>36.630000000000003</v>
      </c>
      <c r="F69" s="262"/>
      <c r="G69" s="279">
        <f>VLOOKUP(20567,'Total Price List'!$B$8:$J$1194,8,0)</f>
        <v>11.225280000000001</v>
      </c>
      <c r="H69" s="279">
        <f>VLOOKUP(20577,'Total Price List'!$B$8:$J$1194,8,0)</f>
        <v>19.644240000000003</v>
      </c>
      <c r="I69" s="279">
        <f>VLOOKUP(20587,'Total Price List'!$B$8:$J$1194,8,0)</f>
        <v>28.063200000000009</v>
      </c>
      <c r="J69" s="280"/>
      <c r="L69" s="884" t="s">
        <v>810</v>
      </c>
      <c r="M69" s="885"/>
      <c r="N69" s="156" t="s">
        <v>815</v>
      </c>
      <c r="O69" s="158" t="s">
        <v>824</v>
      </c>
      <c r="P69" s="156" t="s">
        <v>826</v>
      </c>
      <c r="Q69" s="159" t="s">
        <v>818</v>
      </c>
      <c r="R69" s="159" t="s">
        <v>820</v>
      </c>
      <c r="S69" s="200"/>
    </row>
    <row r="70" spans="1:19" ht="14.45" customHeight="1" x14ac:dyDescent="0.25">
      <c r="A70" s="256"/>
      <c r="B70" s="259">
        <v>1000</v>
      </c>
      <c r="C70" s="260">
        <f>VLOOKUP(20518,'Total Price List'!$B$8:$J$1194,8,0)</f>
        <v>15.84</v>
      </c>
      <c r="D70" s="260">
        <f>VLOOKUP(20528,'Total Price List'!$B$8:$J$1194,8,0)</f>
        <v>24.75</v>
      </c>
      <c r="E70" s="260">
        <f>VLOOKUP(20538,'Total Price List'!$B$8:$J$1194,8,0)</f>
        <v>32.67</v>
      </c>
      <c r="F70" s="262"/>
      <c r="G70" s="279">
        <f>VLOOKUP(20568,'Total Price List'!$B$8:$J$1194,8,0)</f>
        <v>9.6096000000000004</v>
      </c>
      <c r="H70" s="279">
        <f>VLOOKUP(20578,'Total Price List'!$B$8:$J$1194,8,0)</f>
        <v>17.846399999999999</v>
      </c>
      <c r="I70" s="279">
        <f>VLOOKUP(20588,'Total Price List'!$B$8:$J$1194,8,0)</f>
        <v>24.024000000000001</v>
      </c>
      <c r="J70" s="258"/>
      <c r="L70" s="167" t="s">
        <v>814</v>
      </c>
      <c r="M70" s="168" t="s">
        <v>813</v>
      </c>
      <c r="N70" s="169" t="s">
        <v>816</v>
      </c>
      <c r="O70" s="171" t="s">
        <v>950</v>
      </c>
      <c r="P70" s="169" t="s">
        <v>817</v>
      </c>
      <c r="Q70" s="172" t="s">
        <v>819</v>
      </c>
      <c r="R70" s="172" t="s">
        <v>819</v>
      </c>
      <c r="S70" s="200"/>
    </row>
    <row r="71" spans="1:19" ht="14.45" customHeight="1" x14ac:dyDescent="0.25">
      <c r="A71" s="256"/>
      <c r="B71" s="261" t="s">
        <v>828</v>
      </c>
      <c r="C71" s="260">
        <f>VLOOKUP(20519,'Total Price List'!$B$8:$J$1194,8,0)</f>
        <v>13</v>
      </c>
      <c r="D71" s="260">
        <f>VLOOKUP(20529,'Total Price List'!$B$8:$J$1194,8,0)</f>
        <v>22</v>
      </c>
      <c r="E71" s="260">
        <f>VLOOKUP(20539,'Total Price List'!$B$8:$J$1194,8,0)</f>
        <v>31</v>
      </c>
      <c r="F71" s="262"/>
      <c r="G71" s="279">
        <f>VLOOKUP(20569,'Total Price List'!$B$8:$J$1194,8,0)</f>
        <v>12</v>
      </c>
      <c r="H71" s="279">
        <f>VLOOKUP(20579,'Total Price List'!$B$8:$J$1194,8,0)</f>
        <v>21</v>
      </c>
      <c r="I71" s="279">
        <f>VLOOKUP(20589,'Total Price List'!$B$8:$J$1194,8,0)</f>
        <v>30</v>
      </c>
      <c r="J71" s="258"/>
      <c r="L71" s="176">
        <v>1</v>
      </c>
      <c r="M71" s="333">
        <f>$D$2</f>
        <v>0</v>
      </c>
      <c r="N71" s="177">
        <f>IF($P$1=TRUE,20569,IF($D$2&gt;999,20568,IF($D$2&gt;499,20567,IF($D$2&gt;249,20566,IF($D$2&gt;99,20565,IF($D$2&gt;49,20564,IF($D$2&gt;24,20563,IF($D$2&gt;9,20562,IF($D$2&gt;4,20561,0)))))))))</f>
        <v>0</v>
      </c>
      <c r="O71" s="519" t="s">
        <v>968</v>
      </c>
      <c r="P71" s="274">
        <f>IF($P$1=TRUE,G71,IF($D$2&gt;999,G70,IF($D$2&gt;499,G69,IF($D$2&gt;249,G68,IF($D$2&gt;99,G67,IF($D$2&gt;49,G66,IF($D$2&gt;24,G65,IF($D$2&gt;9,G64,IF($D$2&gt;4,G63,0)))))))))</f>
        <v>0</v>
      </c>
      <c r="Q71" s="179">
        <f>IF($P$1=TRUE,$D$2*G71,IF($D$2&gt;999,$D$2*G70,IF($D$2&gt;499,$D$2*G69,IF($D$2&gt;249,$D$2*G68,IF($D$2&gt;99,$D$2*G67,IF($D$2&gt;49,$D$2*G66,IF($D$2&gt;24,$D$2*G65,IF($D$2&gt;9,$D$2*G64,IF($D$2&gt;4,$D$2*G63,0)))))))))</f>
        <v>0</v>
      </c>
      <c r="R71" s="179">
        <f>IF('Total Price List'!$C$5&gt;0,(Q71-(Q71*'Total Price List'!$C$5)),Q71)</f>
        <v>0</v>
      </c>
      <c r="S71" s="200"/>
    </row>
    <row r="72" spans="1:19" ht="14.45" customHeight="1" x14ac:dyDescent="0.25">
      <c r="A72" s="256"/>
      <c r="B72" s="261"/>
      <c r="C72" s="266"/>
      <c r="D72" s="266"/>
      <c r="E72" s="266"/>
      <c r="F72" s="267"/>
      <c r="G72" s="266"/>
      <c r="H72" s="266"/>
      <c r="I72" s="266"/>
      <c r="J72" s="258"/>
      <c r="L72" s="183"/>
      <c r="M72" s="184"/>
      <c r="N72" s="281"/>
      <c r="O72" s="184" t="s">
        <v>821</v>
      </c>
      <c r="P72" s="184"/>
      <c r="Q72" s="185"/>
      <c r="R72" s="185"/>
      <c r="S72" s="200"/>
    </row>
    <row r="73" spans="1:19" ht="14.45" customHeight="1" x14ac:dyDescent="0.25">
      <c r="A73" s="251"/>
      <c r="B73" s="263">
        <f>$D$2</f>
        <v>0</v>
      </c>
      <c r="C73" s="264">
        <f>IF($P$1=TRUE,$D$2*C71,IF($D$2&gt;999,$D$2*C70,IF($D$2&gt;499,$D$2*C69,IF($D$2&gt;249,$D$2*C68,IF($D$2&gt;99,$D$2*C67,IF($D$2&gt;49,$D$2*C66,IF($D$2&gt;24,$D$2*C65,IF($D$2&gt;9,$D$2*C64,IF($D$2&gt;4,$D$2*C63,0)))))))))</f>
        <v>0</v>
      </c>
      <c r="D73" s="264">
        <f t="shared" ref="D73:E73" si="10">IF($P$1=TRUE,$D$2*D71,IF($D$2&gt;999,$D$2*D70,IF($D$2&gt;499,$D$2*D69,IF($D$2&gt;249,$D$2*D68,IF($D$2&gt;99,$D$2*D67,IF($D$2&gt;49,$D$2*D66,IF($D$2&gt;24,$D$2*D65,IF($D$2&gt;9,$D$2*D64,IF($D$2&gt;4,$D$2*D63,0)))))))))</f>
        <v>0</v>
      </c>
      <c r="E73" s="264">
        <f t="shared" si="10"/>
        <v>0</v>
      </c>
      <c r="F73" s="264"/>
      <c r="G73" s="264">
        <f t="shared" ref="G73:I73" si="11">IF($P$1=TRUE,$D$2*G71,IF($D$2&gt;999,$D$2*G70,IF($D$2&gt;499,$D$2*G69,IF($D$2&gt;249,$D$2*G68,IF($D$2&gt;99,$D$2*G67,IF($D$2&gt;49,$D$2*G66,IF($D$2&gt;24,$D$2*G65,IF($D$2&gt;9,$D$2*G64,IF($D$2&gt;4,$D$2*G63,0)))))))))</f>
        <v>0</v>
      </c>
      <c r="H73" s="264">
        <f t="shared" si="11"/>
        <v>0</v>
      </c>
      <c r="I73" s="264">
        <f t="shared" si="11"/>
        <v>0</v>
      </c>
      <c r="J73" s="280"/>
      <c r="L73" s="176">
        <v>2</v>
      </c>
      <c r="M73" s="333">
        <f>$D$2</f>
        <v>0</v>
      </c>
      <c r="N73" s="177">
        <f>IF($P$1=TRUE,20579,IF($D$2&gt;999,20578,IF($D$2&gt;499,20577,IF($D$2&gt;249,20576,IF($D$2&gt;99,20575,IF($D$2&gt;49,20574,IF($D$2&gt;24,20573,IF($D$2&gt;9,20572,IF($D$2&gt;4,20571,0)))))))))</f>
        <v>0</v>
      </c>
      <c r="O73" s="519" t="s">
        <v>968</v>
      </c>
      <c r="P73" s="274">
        <f>IF($P$1=TRUE,H71,IF($D$2&gt;999,H70,IF($D$2&gt;499,H69,IF($D$2&gt;249,H68,IF($D$2&gt;99,H67,IF($D$2&gt;49,H66,IF($D$2&gt;24,H65,IF($D$2&gt;9,H64,IF($D$2&gt;4,H63,0)))))))))</f>
        <v>0</v>
      </c>
      <c r="Q73" s="179">
        <f>IF($P$1=TRUE,$D$2*H71,IF($D$2&gt;999,$D$2*H70,IF($D$2&gt;499,$D$2*H69,IF($D$2&gt;249,$D$2*H68,IF($D$2&gt;99,$D$2*H67,IF($D$2&gt;49,$D$2*H66,IF($D$2&gt;24,$D$2*H65,IF($D$2&gt;9,$D$2*H64,IF($D$2&gt;4,$D$2*H63,0)))))))))</f>
        <v>0</v>
      </c>
      <c r="R73" s="179">
        <f>IF('Total Price List'!$C$5&gt;0,(Q73-(Q73*'Total Price List'!$C$5)),Q73)</f>
        <v>0</v>
      </c>
      <c r="S73" s="200"/>
    </row>
    <row r="74" spans="1:19" ht="14.45" customHeight="1" x14ac:dyDescent="0.25">
      <c r="A74" s="256"/>
      <c r="B74" s="265" t="s">
        <v>811</v>
      </c>
      <c r="C74" s="337">
        <f>IF(C73&gt;0,C73/$D$2,0)</f>
        <v>0</v>
      </c>
      <c r="D74" s="337">
        <f t="shared" ref="D74:E74" si="12">IF(D73&gt;0,D73/$D$2,0)</f>
        <v>0</v>
      </c>
      <c r="E74" s="337">
        <f t="shared" si="12"/>
        <v>0</v>
      </c>
      <c r="F74" s="337"/>
      <c r="G74" s="337">
        <f t="shared" ref="G74:H74" si="13">IF(G73&gt;0,G73/$D$2,0)</f>
        <v>0</v>
      </c>
      <c r="H74" s="337">
        <f t="shared" si="13"/>
        <v>0</v>
      </c>
      <c r="I74" s="337">
        <f>IF(I73&gt;0,I73/$D$2,0)</f>
        <v>0</v>
      </c>
      <c r="J74" s="258"/>
      <c r="L74" s="183"/>
      <c r="M74" s="184"/>
      <c r="N74" s="281"/>
      <c r="O74" s="184" t="s">
        <v>822</v>
      </c>
      <c r="P74" s="184"/>
      <c r="Q74" s="185"/>
      <c r="R74" s="185"/>
      <c r="S74" s="200"/>
    </row>
    <row r="75" spans="1:19" ht="14.45" customHeight="1" x14ac:dyDescent="0.25">
      <c r="A75" s="251"/>
      <c r="B75" s="268"/>
      <c r="C75" s="267"/>
      <c r="D75" s="267"/>
      <c r="E75" s="267"/>
      <c r="F75" s="267"/>
      <c r="G75" s="267"/>
      <c r="H75" s="267"/>
      <c r="I75" s="267"/>
      <c r="J75" s="258"/>
      <c r="L75" s="176">
        <v>3</v>
      </c>
      <c r="M75" s="333">
        <f>$D$2</f>
        <v>0</v>
      </c>
      <c r="N75" s="177">
        <f>IF($P$1=TRUE,20589,IF($D$2&gt;999,20588,IF($D$2&gt;499,20587,IF($D$2&gt;249,20586,IF($D$2&gt;99,20585,IF($D$2&gt;49,20584,IF($D$2&gt;24,20583,IF($D$2&gt;9,20582,IF($D$2&gt;4,20581,0)))))))))</f>
        <v>0</v>
      </c>
      <c r="O75" s="519" t="s">
        <v>968</v>
      </c>
      <c r="P75" s="274">
        <f>IF($P$1=TRUE,I71,IF($D$2&gt;999,I70,IF($D$2&gt;499,I69,IF($D$2&gt;249,I68,IF($D$2&gt;99,I67,IF($D$2&gt;49,I66,IF($D$2&gt;24,I65,IF($D$2&gt;9,I64,IF($D$2&gt;4,I63,0)))))))))</f>
        <v>0</v>
      </c>
      <c r="Q75" s="179">
        <f>IF($P$1=TRUE,$D$2*I71,IF($D$2&gt;999,$D$2*I70,IF($D$2&gt;499,$D$2*I69,IF($D$2&gt;249,$D$2*I68,IF($D$2&gt;99,$D$2*I67,IF($D$2&gt;49,$D$2*I66,IF($D$2&gt;24,$D$2*I65,IF($D$2&gt;9,$D$2*I64,IF($D$2&gt;4,$D$2*I63,0)))))))))</f>
        <v>0</v>
      </c>
      <c r="R75" s="179">
        <f>IF('Total Price List'!$C$5&gt;0,(Q75-(Q75*'Total Price List'!$C$5)),Q75)</f>
        <v>0</v>
      </c>
      <c r="S75" s="200"/>
    </row>
    <row r="76" spans="1:19" ht="14.45" customHeight="1" x14ac:dyDescent="0.25">
      <c r="A76" s="269"/>
      <c r="B76" s="270"/>
      <c r="C76" s="271"/>
      <c r="D76" s="271"/>
      <c r="E76" s="271"/>
      <c r="F76" s="271"/>
      <c r="G76" s="271"/>
      <c r="H76" s="271"/>
      <c r="I76" s="271"/>
      <c r="J76" s="272"/>
      <c r="L76" s="187"/>
      <c r="M76" s="188"/>
      <c r="N76" s="285"/>
      <c r="O76" s="188" t="s">
        <v>823</v>
      </c>
      <c r="P76" s="188"/>
      <c r="Q76" s="189"/>
      <c r="R76" s="189"/>
      <c r="S76" s="200"/>
    </row>
    <row r="77" spans="1:19" x14ac:dyDescent="0.25">
      <c r="O77" s="160"/>
      <c r="S77" s="200"/>
    </row>
    <row r="78" spans="1:19" ht="14.45" customHeight="1" x14ac:dyDescent="0.25">
      <c r="A78" s="902" t="s">
        <v>206</v>
      </c>
      <c r="B78" s="903"/>
      <c r="C78" s="903"/>
      <c r="D78" s="903"/>
      <c r="E78" s="903"/>
      <c r="F78" s="903"/>
      <c r="G78" s="903"/>
      <c r="H78" s="903"/>
      <c r="I78" s="903"/>
      <c r="J78" s="904"/>
      <c r="L78" s="884" t="s">
        <v>812</v>
      </c>
      <c r="M78" s="885"/>
      <c r="N78" s="156" t="s">
        <v>815</v>
      </c>
      <c r="O78" s="158" t="s">
        <v>824</v>
      </c>
      <c r="P78" s="156" t="s">
        <v>826</v>
      </c>
      <c r="Q78" s="159" t="s">
        <v>818</v>
      </c>
      <c r="R78" s="159" t="s">
        <v>820</v>
      </c>
      <c r="S78" s="200"/>
    </row>
    <row r="79" spans="1:19" ht="14.45" customHeight="1" x14ac:dyDescent="0.25">
      <c r="A79" s="363"/>
      <c r="B79" s="364"/>
      <c r="C79" s="365" t="s">
        <v>806</v>
      </c>
      <c r="D79" s="366"/>
      <c r="E79" s="366"/>
      <c r="F79" s="366"/>
      <c r="G79" s="365" t="s">
        <v>810</v>
      </c>
      <c r="H79" s="366"/>
      <c r="I79" s="367"/>
      <c r="J79" s="368"/>
      <c r="L79" s="167" t="s">
        <v>814</v>
      </c>
      <c r="M79" s="168" t="s">
        <v>813</v>
      </c>
      <c r="N79" s="169" t="s">
        <v>816</v>
      </c>
      <c r="O79" s="171" t="s">
        <v>206</v>
      </c>
      <c r="P79" s="169" t="s">
        <v>817</v>
      </c>
      <c r="Q79" s="172" t="s">
        <v>819</v>
      </c>
      <c r="R79" s="172" t="s">
        <v>819</v>
      </c>
      <c r="S79" s="200"/>
    </row>
    <row r="80" spans="1:19" ht="14.45" customHeight="1" x14ac:dyDescent="0.25">
      <c r="A80" s="369"/>
      <c r="B80" s="370" t="s">
        <v>805</v>
      </c>
      <c r="C80" s="370" t="s">
        <v>807</v>
      </c>
      <c r="D80" s="370" t="s">
        <v>808</v>
      </c>
      <c r="E80" s="370" t="s">
        <v>809</v>
      </c>
      <c r="F80" s="367"/>
      <c r="G80" s="371" t="s">
        <v>807</v>
      </c>
      <c r="H80" s="371" t="s">
        <v>808</v>
      </c>
      <c r="I80" s="371" t="s">
        <v>809</v>
      </c>
      <c r="J80" s="372"/>
      <c r="L80" s="176">
        <v>1</v>
      </c>
      <c r="M80" s="333">
        <f>$D$2</f>
        <v>0</v>
      </c>
      <c r="N80" s="177">
        <f>IF($P$1=TRUE,20919,IF($D$2&gt;999,20918,IF($D$2&gt;499,20917,IF($D$2&gt;249,20916,IF($D$2&gt;99,20915,IF($D$2&gt;49,20914,IF($D$2&gt;24,20913,IF($D$2&gt;9,20912,IF($D$2&gt;4,20911,0)))))))))</f>
        <v>0</v>
      </c>
      <c r="O80" s="519" t="s">
        <v>206</v>
      </c>
      <c r="P80" s="178">
        <f>IF($P$1=TRUE,C89,IF($D$2&gt;999,C88,IF($D$2&gt;499,C87,IF($D$2&gt;249,C86,IF($D$2&gt;99,C85,IF($D$2&gt;49,C84,IF($D$2&gt;24,C83,IF($D$2&gt;9,C82,IF($D$2&gt;4,C81,0)))))))))</f>
        <v>0</v>
      </c>
      <c r="Q80" s="179">
        <f>IF($P$1=TRUE,$D$2*C89,IF($D$2&gt;999,$D$2*C88,IF($D$2&gt;499,$D$2*C87,IF($D$2&gt;249,$D$2*C86,IF($D$2&gt;99,$D$2*C85,IF($D$2&gt;49,$D$2*C84,IF($D$2&gt;24,$D$2*C83,IF($D$2&gt;9,$D$2*C82,IF($D$2&gt;4,$D$2*C81,0)))))))))</f>
        <v>0</v>
      </c>
      <c r="R80" s="179">
        <f>IF('Total Price List'!$C$4&gt;0,(Q80-(Q80*'Total Price List'!$C$4)),Q80)</f>
        <v>0</v>
      </c>
      <c r="S80" s="200"/>
    </row>
    <row r="81" spans="1:19" ht="14.45" customHeight="1" x14ac:dyDescent="0.25">
      <c r="A81" s="363"/>
      <c r="B81" s="373">
        <v>5</v>
      </c>
      <c r="C81" s="374">
        <f>VLOOKUP(20911,'Total Price List'!$B$8:$J$1194,8,0)</f>
        <v>45</v>
      </c>
      <c r="D81" s="374">
        <f>VLOOKUP(20921,'Total Price List'!$B$8:$J$1194,8,0)</f>
        <v>63</v>
      </c>
      <c r="E81" s="374">
        <f>VLOOKUP(20931,'Total Price List'!$B$8:$J$1194,8,0)</f>
        <v>80.099999999999994</v>
      </c>
      <c r="F81" s="367"/>
      <c r="G81" s="375">
        <f>VLOOKUP(20961,'Total Price List'!$B$8:$J$1194,8,0)</f>
        <v>24</v>
      </c>
      <c r="H81" s="375">
        <f>VLOOKUP(20971,'Total Price List'!$B$8:$J$1194,8,0)</f>
        <v>42</v>
      </c>
      <c r="I81" s="375">
        <f>VLOOKUP(20981,'Total Price List'!$B$8:$J$1194,8,0)</f>
        <v>60</v>
      </c>
      <c r="J81" s="372"/>
      <c r="L81" s="183"/>
      <c r="M81" s="184"/>
      <c r="N81" s="281"/>
      <c r="O81" s="184" t="s">
        <v>821</v>
      </c>
      <c r="P81" s="184"/>
      <c r="Q81" s="185"/>
      <c r="R81" s="185"/>
      <c r="S81" s="200"/>
    </row>
    <row r="82" spans="1:19" ht="14.45" customHeight="1" x14ac:dyDescent="0.25">
      <c r="A82" s="363"/>
      <c r="B82" s="373">
        <v>10</v>
      </c>
      <c r="C82" s="374">
        <f>VLOOKUP(20912,'Total Price List'!$B$8:$J$1194,8,0)</f>
        <v>37.799999999999997</v>
      </c>
      <c r="D82" s="374">
        <f>VLOOKUP(20922,'Total Price List'!$B$8:$J$1194,8,0)</f>
        <v>55.8</v>
      </c>
      <c r="E82" s="374">
        <f>VLOOKUP(20932,'Total Price List'!$B$8:$J$1194,8,0)</f>
        <v>71.099999999999994</v>
      </c>
      <c r="F82" s="367"/>
      <c r="G82" s="375">
        <f>VLOOKUP(20962,'Total Price List'!$B$8:$J$1194,8,0)</f>
        <v>23.52</v>
      </c>
      <c r="H82" s="375">
        <f>VLOOKUP(20972,'Total Price List'!$B$8:$J$1194,8,0)</f>
        <v>41.16</v>
      </c>
      <c r="I82" s="375">
        <f>VLOOKUP(20982,'Total Price List'!$B$8:$J$1194,8,0)</f>
        <v>58.800000000000004</v>
      </c>
      <c r="J82" s="372"/>
      <c r="L82" s="176">
        <v>2</v>
      </c>
      <c r="M82" s="333">
        <f>$D$2</f>
        <v>0</v>
      </c>
      <c r="N82" s="177">
        <f>IF($P$1=TRUE,20929,IF($D$2&gt;999,20928,IF($D$2&gt;499,20927,IF($D$2&gt;249,20926,IF($D$2&gt;99,20925,IF($D$2&gt;49,20924,IF($D$2&gt;24,20923,IF($D$2&gt;9,20922,IF($D$2&gt;4,20921,0)))))))))</f>
        <v>0</v>
      </c>
      <c r="O82" s="519" t="s">
        <v>206</v>
      </c>
      <c r="P82" s="178">
        <f>IF($P$1=TRUE,D89,IF($D$2&gt;999,D88,IF($D$2&gt;499,D87,IF($D$2&gt;249,D86,IF($D$2&gt;99,D85,IF($D$2&gt;49,D84,IF($D$2&gt;24,D83,IF($D$2&gt;9,D82,IF($D$2&gt;4,D81,0)))))))))</f>
        <v>0</v>
      </c>
      <c r="Q82" s="179">
        <f>IF($P$1=TRUE,$D$2*D89,IF($D$2&gt;999,$D$2*D88,IF($D$2&gt;499,$D$2*D87,IF($D$2&gt;249,$D$2*D86,IF($D$2&gt;99,$D$2*D85,IF($D$2&gt;49,$D$2*D84,IF($D$2&gt;24,$D$2*D83,IF($D$2&gt;9,$D$2*D82,IF($D$2&gt;4,$D$2*D81,0)))))))))</f>
        <v>0</v>
      </c>
      <c r="R82" s="179">
        <f>IF('Total Price List'!$C$4&gt;0,(Q82-(Q82*'Total Price List'!$C$4)),Q82)</f>
        <v>0</v>
      </c>
      <c r="S82" s="200"/>
    </row>
    <row r="83" spans="1:19" ht="14.45" customHeight="1" x14ac:dyDescent="0.25">
      <c r="A83" s="369"/>
      <c r="B83" s="373">
        <v>25</v>
      </c>
      <c r="C83" s="374">
        <f>VLOOKUP(20913,'Total Price List'!$B$8:$J$1194,8,0)</f>
        <v>30.15</v>
      </c>
      <c r="D83" s="374">
        <f>VLOOKUP(20923,'Total Price List'!$B$8:$J$1194,8,0)</f>
        <v>43.199999999999996</v>
      </c>
      <c r="E83" s="374">
        <f>VLOOKUP(20933,'Total Price List'!$B$8:$J$1194,8,0)</f>
        <v>61.199999999999996</v>
      </c>
      <c r="F83" s="367"/>
      <c r="G83" s="375">
        <f>VLOOKUP(20963,'Total Price List'!$B$8:$J$1194,8,0)</f>
        <v>19.776000000000003</v>
      </c>
      <c r="H83" s="375">
        <f>VLOOKUP(20973,'Total Price List'!$B$8:$J$1194,8,0)</f>
        <v>34.608000000000004</v>
      </c>
      <c r="I83" s="375">
        <f>VLOOKUP(20983,'Total Price List'!$B$8:$J$1194,8,0)</f>
        <v>49.440000000000005</v>
      </c>
      <c r="J83" s="372"/>
      <c r="L83" s="183"/>
      <c r="M83" s="184"/>
      <c r="N83" s="281"/>
      <c r="O83" s="184" t="s">
        <v>822</v>
      </c>
      <c r="P83" s="184"/>
      <c r="Q83" s="185"/>
      <c r="R83" s="185"/>
      <c r="S83" s="200"/>
    </row>
    <row r="84" spans="1:19" ht="14.45" customHeight="1" x14ac:dyDescent="0.25">
      <c r="A84" s="363"/>
      <c r="B84" s="373">
        <v>50</v>
      </c>
      <c r="C84" s="374">
        <f>VLOOKUP(20914,'Total Price List'!$B$8:$J$1194,8,0)</f>
        <v>23.4</v>
      </c>
      <c r="D84" s="374">
        <f>VLOOKUP(20924,'Total Price List'!$B$8:$J$1194,8,0)</f>
        <v>36</v>
      </c>
      <c r="E84" s="374">
        <f>VLOOKUP(20934,'Total Price List'!$B$8:$J$1194,8,0)</f>
        <v>52.199999999999996</v>
      </c>
      <c r="F84" s="376"/>
      <c r="G84" s="375">
        <f>VLOOKUP(20964,'Total Price List'!$B$8:$J$1194,8,0)</f>
        <v>18.528000000000002</v>
      </c>
      <c r="H84" s="375">
        <f>VLOOKUP(20974,'Total Price List'!$B$8:$J$1194,8,0)</f>
        <v>32.423999999999999</v>
      </c>
      <c r="I84" s="375">
        <f>VLOOKUP(20984,'Total Price List'!$B$8:$J$1194,8,0)</f>
        <v>46.32</v>
      </c>
      <c r="J84" s="377"/>
      <c r="L84" s="176">
        <v>3</v>
      </c>
      <c r="M84" s="333">
        <f>$D$2</f>
        <v>0</v>
      </c>
      <c r="N84" s="177">
        <f>IF($P$1=TRUE,20939,IF($D$2&gt;999,20938,IF($D$2&gt;499,20937,IF($D$2&gt;249,20936,IF($D$2&gt;99,20935,IF($D$2&gt;49,20934,IF($D$2&gt;24,20933,IF($D$2&gt;9,20932,IF($D$2&gt;4,20931,0)))))))))</f>
        <v>0</v>
      </c>
      <c r="O84" s="519" t="s">
        <v>206</v>
      </c>
      <c r="P84" s="178">
        <f>IF($P$1=TRUE,E89,IF($D$2&gt;999,E88,IF($D$2&gt;499,E87,IF($D$2&gt;249,E86,IF($D$2&gt;99,E85,IF($D$2&gt;49,E84,IF($D$2&gt;24,E83,IF($D$2&gt;9,E82,IF($D$2&gt;4,E81,0)))))))))</f>
        <v>0</v>
      </c>
      <c r="Q84" s="179">
        <f>IF($P$1=TRUE,$D$2*E89,IF($D$2&gt;999,$D$2*E88,IF($D$2&gt;499,$D$2*E87,IF($D$2&gt;249,$D$2*E86,IF($D$2&gt;99,$D$2*E85,IF($D$2&gt;49,$D$2*E84,IF($D$2&gt;24,$D$2*E83,IF($D$2&gt;9,$D$2*E82,IF($D$2&gt;4,$D$2*E81,0)))))))))</f>
        <v>0</v>
      </c>
      <c r="R84" s="179">
        <f>IF('Total Price List'!$C$4&gt;0,(Q84-(Q84*'Total Price List'!$C$4)),Q84)</f>
        <v>0</v>
      </c>
      <c r="S84" s="200"/>
    </row>
    <row r="85" spans="1:19" ht="14.45" customHeight="1" x14ac:dyDescent="0.25">
      <c r="A85" s="363"/>
      <c r="B85" s="373">
        <v>100</v>
      </c>
      <c r="C85" s="374">
        <f>VLOOKUP(20915,'Total Price List'!$B$8:$J$1194,8,0)</f>
        <v>20.7</v>
      </c>
      <c r="D85" s="374">
        <f>VLOOKUP(20925,'Total Price List'!$B$8:$J$1194,8,0)</f>
        <v>31.5</v>
      </c>
      <c r="E85" s="374">
        <f>VLOOKUP(20935,'Total Price List'!$B$8:$J$1194,8,0)</f>
        <v>44.099999999999994</v>
      </c>
      <c r="F85" s="376"/>
      <c r="G85" s="375">
        <f>VLOOKUP(20965,'Total Price List'!$B$8:$J$1194,8,0)</f>
        <v>15.024000000000001</v>
      </c>
      <c r="H85" s="375">
        <f>VLOOKUP(20975,'Total Price List'!$B$8:$J$1194,8,0)</f>
        <v>26.292000000000002</v>
      </c>
      <c r="I85" s="375">
        <f>VLOOKUP(20985,'Total Price List'!$B$8:$J$1194,8,0)</f>
        <v>37.56</v>
      </c>
      <c r="J85" s="377"/>
      <c r="L85" s="187"/>
      <c r="M85" s="188"/>
      <c r="N85" s="285"/>
      <c r="O85" s="188" t="s">
        <v>823</v>
      </c>
      <c r="P85" s="188"/>
      <c r="Q85" s="189"/>
      <c r="R85" s="189"/>
      <c r="S85" s="200"/>
    </row>
    <row r="86" spans="1:19" ht="14.45" customHeight="1" x14ac:dyDescent="0.25">
      <c r="A86" s="369"/>
      <c r="B86" s="373">
        <v>250</v>
      </c>
      <c r="C86" s="374">
        <f>VLOOKUP(20916,'Total Price List'!$B$8:$J$1194,8,0)</f>
        <v>18</v>
      </c>
      <c r="D86" s="374">
        <f>VLOOKUP(20926,'Total Price List'!$B$8:$J$1194,8,0)</f>
        <v>27</v>
      </c>
      <c r="E86" s="374">
        <f>VLOOKUP(20936,'Total Price List'!$B$8:$J$1194,8,0)</f>
        <v>36.9</v>
      </c>
      <c r="F86" s="376"/>
      <c r="G86" s="375">
        <f>VLOOKUP(20966,'Total Price List'!$B$8:$J$1194,8,0)</f>
        <v>11.769600000000001</v>
      </c>
      <c r="H86" s="375">
        <f>VLOOKUP(20976,'Total Price List'!$B$8:$J$1194,8,0)</f>
        <v>20.596800000000002</v>
      </c>
      <c r="I86" s="375">
        <f>VLOOKUP(20986,'Total Price List'!$B$8:$J$1194,8,0)</f>
        <v>29.424000000000003</v>
      </c>
      <c r="J86" s="372"/>
      <c r="L86" s="184"/>
      <c r="M86" s="184"/>
      <c r="N86" s="281"/>
      <c r="O86" s="184"/>
      <c r="P86" s="184"/>
      <c r="Q86" s="184"/>
      <c r="R86" s="184"/>
      <c r="S86" s="200"/>
    </row>
    <row r="87" spans="1:19" ht="14.45" customHeight="1" x14ac:dyDescent="0.25">
      <c r="A87" s="363"/>
      <c r="B87" s="373">
        <v>500</v>
      </c>
      <c r="C87" s="374">
        <f>VLOOKUP(20917,'Total Price List'!$B$8:$J$1194,8,0)</f>
        <v>16.2</v>
      </c>
      <c r="D87" s="374">
        <f>VLOOKUP(20927,'Total Price List'!$B$8:$J$1194,8,0)</f>
        <v>24.299999999999997</v>
      </c>
      <c r="E87" s="374">
        <f>VLOOKUP(20937,'Total Price List'!$B$8:$J$1194,8,0)</f>
        <v>33.299999999999997</v>
      </c>
      <c r="F87" s="376"/>
      <c r="G87" s="375">
        <f>VLOOKUP(20967,'Total Price List'!$B$8:$J$1194,8,0)</f>
        <v>10.204800000000001</v>
      </c>
      <c r="H87" s="375">
        <f>VLOOKUP(20977,'Total Price List'!$B$8:$J$1194,8,0)</f>
        <v>17.8584</v>
      </c>
      <c r="I87" s="375">
        <f>VLOOKUP(20987,'Total Price List'!$B$8:$J$1194,8,0)</f>
        <v>25.512</v>
      </c>
      <c r="J87" s="377"/>
      <c r="L87" s="884" t="s">
        <v>810</v>
      </c>
      <c r="M87" s="885"/>
      <c r="N87" s="156" t="s">
        <v>815</v>
      </c>
      <c r="O87" s="158" t="s">
        <v>824</v>
      </c>
      <c r="P87" s="156" t="s">
        <v>826</v>
      </c>
      <c r="Q87" s="159" t="s">
        <v>818</v>
      </c>
      <c r="R87" s="159" t="s">
        <v>820</v>
      </c>
      <c r="S87" s="200"/>
    </row>
    <row r="88" spans="1:19" ht="14.45" customHeight="1" x14ac:dyDescent="0.25">
      <c r="A88" s="369"/>
      <c r="B88" s="373">
        <v>1000</v>
      </c>
      <c r="C88" s="374">
        <f>VLOOKUP(20918,'Total Price List'!$B$8:$J$1194,8,0)</f>
        <v>14.399999999999999</v>
      </c>
      <c r="D88" s="374">
        <f>VLOOKUP(20928,'Total Price List'!$B$8:$J$1194,8,0)</f>
        <v>22.5</v>
      </c>
      <c r="E88" s="374">
        <f>VLOOKUP(20938,'Total Price List'!$B$8:$J$1194,8,0)</f>
        <v>29.700000000000003</v>
      </c>
      <c r="F88" s="376"/>
      <c r="G88" s="375">
        <f>VLOOKUP(20968,'Total Price List'!$B$8:$J$1194,8,0)</f>
        <v>8.7360000000000007</v>
      </c>
      <c r="H88" s="375">
        <f>VLOOKUP(20978,'Total Price List'!$B$8:$J$1194,8,0)</f>
        <v>13.52</v>
      </c>
      <c r="I88" s="375">
        <f>VLOOKUP(20988,'Total Price List'!$B$8:$J$1194,8,0)</f>
        <v>18.2</v>
      </c>
      <c r="J88" s="372"/>
      <c r="L88" s="167" t="s">
        <v>814</v>
      </c>
      <c r="M88" s="168" t="s">
        <v>813</v>
      </c>
      <c r="N88" s="169" t="s">
        <v>816</v>
      </c>
      <c r="O88" s="171" t="s">
        <v>206</v>
      </c>
      <c r="P88" s="169" t="s">
        <v>817</v>
      </c>
      <c r="Q88" s="172" t="s">
        <v>819</v>
      </c>
      <c r="R88" s="172" t="s">
        <v>819</v>
      </c>
      <c r="S88" s="200"/>
    </row>
    <row r="89" spans="1:19" ht="14.45" customHeight="1" x14ac:dyDescent="0.25">
      <c r="A89" s="369"/>
      <c r="B89" s="371" t="s">
        <v>827</v>
      </c>
      <c r="C89" s="374">
        <f>VLOOKUP(20919,'Total Price List'!$B$8:$J$1194,8,0)</f>
        <v>13</v>
      </c>
      <c r="D89" s="374">
        <f>VLOOKUP(20929,'Total Price List'!$B$8:$J$1194,8,0)</f>
        <v>22</v>
      </c>
      <c r="E89" s="374">
        <f>VLOOKUP(20939,'Total Price List'!$B$8:$J$1194,8,0)</f>
        <v>31</v>
      </c>
      <c r="F89" s="376"/>
      <c r="G89" s="375">
        <f>VLOOKUP(20969,'Total Price List'!$B$8:$J$1194,8,0)</f>
        <v>12</v>
      </c>
      <c r="H89" s="375">
        <f>VLOOKUP(20979,'Total Price List'!$B$8:$J$1194,8,0)</f>
        <v>21</v>
      </c>
      <c r="I89" s="375">
        <f>VLOOKUP(20989,'Total Price List'!$B$8:$J$1194,8,0)</f>
        <v>30</v>
      </c>
      <c r="J89" s="372"/>
      <c r="L89" s="176">
        <v>1</v>
      </c>
      <c r="M89" s="333">
        <f>$D$2</f>
        <v>0</v>
      </c>
      <c r="N89" s="177">
        <f>IF($P$1=TRUE,20969,IF($D$2&gt;999,20968,IF($D$2&gt;499,20967,IF($D$2&gt;249,20966,IF($D$2&gt;99,20965,IF($D$2&gt;49,20964,IF($D$2&gt;24,20963,IF($D$2&gt;9,20962,IF($D$2&gt;4,20961,0)))))))))</f>
        <v>0</v>
      </c>
      <c r="O89" s="519" t="s">
        <v>510</v>
      </c>
      <c r="P89" s="274">
        <f>IF($P$1=TRUE,G89,IF($D$2&gt;999,G88,IF($D$2&gt;499,G87,IF($D$2&gt;249,G86,IF($D$2&gt;99,G85,IF($D$2&gt;49,G84,IF($D$2&gt;24,G83,IF($D$2&gt;9,G82,IF($D$2&gt;4,G81,0)))))))))</f>
        <v>0</v>
      </c>
      <c r="Q89" s="179">
        <f>IF($P$1=TRUE,$D$2*G89,IF($D$2&gt;999,$D$2*G88,IF($D$2&gt;499,$D$2*G87,IF($D$2&gt;249,$D$2*G86,IF($D$2&gt;99,$D$2*G85,IF($D$2&gt;49,$D$2*G84,IF($D$2&gt;24,$D$2*G83,IF($D$2&gt;9,$D$2*G82,IF($D$2&gt;4,$D$2*G81,0)))))))))</f>
        <v>0</v>
      </c>
      <c r="R89" s="179">
        <f>IF('Total Price List'!$C$5&gt;0,(Q89-(Q89*'Total Price List'!$C$5)),Q89)</f>
        <v>0</v>
      </c>
      <c r="S89" s="200"/>
    </row>
    <row r="90" spans="1:19" ht="14.45" customHeight="1" x14ac:dyDescent="0.25">
      <c r="A90" s="369"/>
      <c r="B90" s="371"/>
      <c r="C90" s="378"/>
      <c r="D90" s="378"/>
      <c r="E90" s="378"/>
      <c r="F90" s="367"/>
      <c r="G90" s="378"/>
      <c r="H90" s="378"/>
      <c r="I90" s="378"/>
      <c r="J90" s="372"/>
      <c r="L90" s="183"/>
      <c r="M90" s="184"/>
      <c r="N90" s="281"/>
      <c r="O90" s="184" t="s">
        <v>821</v>
      </c>
      <c r="P90" s="184"/>
      <c r="Q90" s="185"/>
      <c r="R90" s="185"/>
      <c r="S90" s="200"/>
    </row>
    <row r="91" spans="1:19" ht="14.45" customHeight="1" x14ac:dyDescent="0.25">
      <c r="A91" s="363"/>
      <c r="B91" s="379">
        <f>$D$2</f>
        <v>0</v>
      </c>
      <c r="C91" s="380">
        <f>IF($P$1=TRUE,$D$2*C89,IF($D$2&gt;999,$D$2*C88,IF($D$2&gt;499,$D$2*C87,IF($D$2&gt;249,$D$2*C86,IF($D$2&gt;99,$D$2*C85,IF($D$2&gt;49,$D$2*C84,IF($D$2&gt;24,$D$2*C83,IF($D$2&gt;9,$D$2*C82,IF($D$2&gt;4,$D$2*C81,0)))))))))</f>
        <v>0</v>
      </c>
      <c r="D91" s="380">
        <f t="shared" ref="D91:E91" si="14">IF($P$1=TRUE,$D$2*D89,IF($D$2&gt;999,$D$2*D88,IF($D$2&gt;499,$D$2*D87,IF($D$2&gt;249,$D$2*D86,IF($D$2&gt;99,$D$2*D85,IF($D$2&gt;49,$D$2*D84,IF($D$2&gt;24,$D$2*D83,IF($D$2&gt;9,$D$2*D82,IF($D$2&gt;4,$D$2*D81,0)))))))))</f>
        <v>0</v>
      </c>
      <c r="E91" s="380">
        <f t="shared" si="14"/>
        <v>0</v>
      </c>
      <c r="F91" s="380"/>
      <c r="G91" s="380">
        <f t="shared" ref="G91:I91" si="15">IF($P$1=TRUE,$D$2*G89,IF($D$2&gt;999,$D$2*G88,IF($D$2&gt;499,$D$2*G87,IF($D$2&gt;249,$D$2*G86,IF($D$2&gt;99,$D$2*G85,IF($D$2&gt;49,$D$2*G84,IF($D$2&gt;24,$D$2*G83,IF($D$2&gt;9,$D$2*G82,IF($D$2&gt;4,$D$2*G81,0)))))))))</f>
        <v>0</v>
      </c>
      <c r="H91" s="380">
        <f t="shared" si="15"/>
        <v>0</v>
      </c>
      <c r="I91" s="380">
        <f t="shared" si="15"/>
        <v>0</v>
      </c>
      <c r="J91" s="377"/>
      <c r="L91" s="176">
        <v>2</v>
      </c>
      <c r="M91" s="333">
        <f>$D$2</f>
        <v>0</v>
      </c>
      <c r="N91" s="177">
        <f>IF($P$1=TRUE,20979,IF($D$2&gt;999,20978,IF($D$2&gt;499,20977,IF($D$2&gt;249,20976,IF($D$2&gt;99,20975,IF($D$2&gt;49,20974,IF($D$2&gt;24,20973,IF($D$2&gt;9,20972,IF($D$2&gt;4,20971,0)))))))))</f>
        <v>0</v>
      </c>
      <c r="O91" s="519" t="s">
        <v>510</v>
      </c>
      <c r="P91" s="274">
        <f>IF($P$1=TRUE,H89,IF($D$2&gt;999,H88,IF($D$2&gt;499,H87,IF($D$2&gt;249,H86,IF($D$2&gt;99,H85,IF($D$2&gt;49,H84,IF($D$2&gt;24,H83,IF($D$2&gt;9,H82,IF($D$2&gt;4,H81,0)))))))))</f>
        <v>0</v>
      </c>
      <c r="Q91" s="179">
        <f>IF($P$1=TRUE,$D$2*H89,IF($D$2&gt;999,$D$2*H88,IF($D$2&gt;499,$D$2*H87,IF($D$2&gt;249,$D$2*H86,IF($D$2&gt;99,$D$2*H85,IF($D$2&gt;49,$D$2*H84,IF($D$2&gt;24,$D$2*H83,IF($D$2&gt;9,$D$2*H82,IF($D$2&gt;4,$D$2*H81,0)))))))))</f>
        <v>0</v>
      </c>
      <c r="R91" s="179">
        <f>IF('Total Price List'!$C$5&gt;0,(Q91-(Q91*'Total Price List'!$C$5)),Q91)</f>
        <v>0</v>
      </c>
      <c r="S91" s="200"/>
    </row>
    <row r="92" spans="1:19" ht="14.45" customHeight="1" x14ac:dyDescent="0.25">
      <c r="A92" s="369"/>
      <c r="B92" s="381" t="s">
        <v>811</v>
      </c>
      <c r="C92" s="382">
        <f>IF(C91&gt;0,C91/$D$2,0)</f>
        <v>0</v>
      </c>
      <c r="D92" s="382">
        <f t="shared" ref="D92:E92" si="16">IF(D91&gt;0,D91/$D$2,0)</f>
        <v>0</v>
      </c>
      <c r="E92" s="382">
        <f t="shared" si="16"/>
        <v>0</v>
      </c>
      <c r="F92" s="382"/>
      <c r="G92" s="382">
        <f t="shared" ref="G92:H92" si="17">IF(G91&gt;0,G91/$D$2,0)</f>
        <v>0</v>
      </c>
      <c r="H92" s="382">
        <f t="shared" si="17"/>
        <v>0</v>
      </c>
      <c r="I92" s="382">
        <f>IF(I91&gt;0,I91/$D$2,0)</f>
        <v>0</v>
      </c>
      <c r="J92" s="372"/>
      <c r="L92" s="183"/>
      <c r="M92" s="184"/>
      <c r="N92" s="281"/>
      <c r="O92" s="184" t="s">
        <v>822</v>
      </c>
      <c r="P92" s="184"/>
      <c r="Q92" s="185"/>
      <c r="R92" s="185"/>
      <c r="S92" s="200"/>
    </row>
    <row r="93" spans="1:19" ht="14.45" customHeight="1" x14ac:dyDescent="0.25">
      <c r="A93" s="363"/>
      <c r="B93" s="383"/>
      <c r="C93" s="367"/>
      <c r="D93" s="367"/>
      <c r="E93" s="367"/>
      <c r="F93" s="367"/>
      <c r="G93" s="367"/>
      <c r="H93" s="367"/>
      <c r="I93" s="367"/>
      <c r="J93" s="372"/>
      <c r="L93" s="176">
        <v>3</v>
      </c>
      <c r="M93" s="333">
        <f>$D$2</f>
        <v>0</v>
      </c>
      <c r="N93" s="177">
        <f>IF($P$1=TRUE,20989,IF($D$2&gt;999,20988,IF($D$2&gt;499,20987,IF($D$2&gt;249,20986,IF($D$2&gt;99,20985,IF($D$2&gt;49,20984,IF($D$2&gt;24,20983,IF($D$2&gt;9,20982,IF($D$2&gt;4,20981,0)))))))))</f>
        <v>0</v>
      </c>
      <c r="O93" s="519" t="s">
        <v>510</v>
      </c>
      <c r="P93" s="274">
        <f>IF($P$1=TRUE,I89,IF($D$2&gt;999,I88,IF($D$2&gt;499,I87,IF($D$2&gt;249,I86,IF($D$2&gt;99,I85,IF($D$2&gt;49,I84,IF($D$2&gt;24,I83,IF($D$2&gt;9,I82,IF($D$2&gt;4,I81,0)))))))))</f>
        <v>0</v>
      </c>
      <c r="Q93" s="179">
        <f>IF($P$1=TRUE,$D$2*I89,IF($D$2&gt;999,$D$2*I88,IF($D$2&gt;499,$D$2*I87,IF($D$2&gt;249,$D$2*I86,IF($D$2&gt;99,$D$2*I85,IF($D$2&gt;49,$D$2*I84,IF($D$2&gt;24,$D$2*I83,IF($D$2&gt;9,$D$2*I82,IF($D$2&gt;4,$D$2*I81,0)))))))))</f>
        <v>0</v>
      </c>
      <c r="R93" s="179">
        <f>IF('Total Price List'!$C$5&gt;0,(Q93-(Q93*'Total Price List'!$C$5)),Q93)</f>
        <v>0</v>
      </c>
      <c r="S93" s="200"/>
    </row>
    <row r="94" spans="1:19" ht="14.45" customHeight="1" x14ac:dyDescent="0.25">
      <c r="A94" s="384"/>
      <c r="B94" s="385"/>
      <c r="C94" s="386"/>
      <c r="D94" s="386"/>
      <c r="E94" s="386"/>
      <c r="F94" s="386"/>
      <c r="G94" s="386"/>
      <c r="H94" s="386"/>
      <c r="I94" s="386"/>
      <c r="J94" s="387"/>
      <c r="L94" s="187"/>
      <c r="M94" s="188"/>
      <c r="N94" s="285"/>
      <c r="O94" s="188" t="s">
        <v>823</v>
      </c>
      <c r="P94" s="188"/>
      <c r="Q94" s="189"/>
      <c r="R94" s="189"/>
      <c r="S94" s="200"/>
    </row>
    <row r="95" spans="1:19" x14ac:dyDescent="0.25">
      <c r="O95" s="160"/>
      <c r="S95" s="200"/>
    </row>
    <row r="96" spans="1:19" ht="15.75" x14ac:dyDescent="0.25">
      <c r="A96" s="905" t="s">
        <v>953</v>
      </c>
      <c r="B96" s="906"/>
      <c r="C96" s="906"/>
      <c r="D96" s="906"/>
      <c r="E96" s="906"/>
      <c r="F96" s="906"/>
      <c r="G96" s="906"/>
      <c r="H96" s="906"/>
      <c r="I96" s="906"/>
      <c r="J96" s="907"/>
      <c r="L96" s="884" t="s">
        <v>812</v>
      </c>
      <c r="M96" s="885"/>
      <c r="N96" s="156" t="s">
        <v>815</v>
      </c>
      <c r="O96" s="158" t="s">
        <v>824</v>
      </c>
      <c r="P96" s="156" t="s">
        <v>826</v>
      </c>
      <c r="Q96" s="159" t="s">
        <v>818</v>
      </c>
      <c r="R96" s="159" t="s">
        <v>820</v>
      </c>
      <c r="S96" s="200"/>
    </row>
    <row r="97" spans="1:19" ht="25.5" x14ac:dyDescent="0.25">
      <c r="A97" s="338"/>
      <c r="B97" s="339"/>
      <c r="C97" s="340" t="s">
        <v>806</v>
      </c>
      <c r="D97" s="341"/>
      <c r="E97" s="341"/>
      <c r="F97" s="341"/>
      <c r="G97" s="340" t="s">
        <v>810</v>
      </c>
      <c r="H97" s="341"/>
      <c r="I97" s="342"/>
      <c r="J97" s="343"/>
      <c r="L97" s="167" t="s">
        <v>814</v>
      </c>
      <c r="M97" s="168" t="s">
        <v>813</v>
      </c>
      <c r="N97" s="169" t="s">
        <v>816</v>
      </c>
      <c r="O97" s="171" t="s">
        <v>953</v>
      </c>
      <c r="P97" s="169" t="s">
        <v>817</v>
      </c>
      <c r="Q97" s="172" t="s">
        <v>819</v>
      </c>
      <c r="R97" s="172" t="s">
        <v>819</v>
      </c>
      <c r="S97" s="200"/>
    </row>
    <row r="98" spans="1:19" ht="14.45" customHeight="1" x14ac:dyDescent="0.25">
      <c r="A98" s="344"/>
      <c r="B98" s="345" t="s">
        <v>805</v>
      </c>
      <c r="C98" s="345" t="s">
        <v>807</v>
      </c>
      <c r="D98" s="345" t="s">
        <v>808</v>
      </c>
      <c r="E98" s="345" t="s">
        <v>809</v>
      </c>
      <c r="F98" s="342"/>
      <c r="G98" s="346" t="s">
        <v>807</v>
      </c>
      <c r="H98" s="346" t="s">
        <v>808</v>
      </c>
      <c r="I98" s="346" t="s">
        <v>809</v>
      </c>
      <c r="J98" s="347"/>
      <c r="L98" s="176">
        <v>1</v>
      </c>
      <c r="M98" s="333">
        <f>$D$2</f>
        <v>0</v>
      </c>
      <c r="N98" s="177">
        <f>IF($P$1=TRUE,21019,IF($D$2&gt;999,21018,IF($D$2&gt;499,21017,IF($D$2&gt;249,21016,IF($D$2&gt;99,21015,IF($D$2&gt;49,21014,IF($D$2&gt;24,21013,IF($D$2&gt;9,21012,IF($D$2&gt;4,21011,0)))))))))</f>
        <v>0</v>
      </c>
      <c r="O98" s="519" t="s">
        <v>953</v>
      </c>
      <c r="P98" s="178">
        <f>IF($P$1=TRUE,C107,IF($D$2&gt;999,C106,IF($D$2&gt;499,C105,IF($D$2&gt;249,C104,IF($D$2&gt;99,C103,IF($D$2&gt;49,C102,IF($D$2&gt;24,C101,IF($D$2&gt;9,C100,IF($D$2&gt;4,C99,0)))))))))</f>
        <v>0</v>
      </c>
      <c r="Q98" s="179">
        <f>IF($P$1=TRUE,$D$2*C107,IF($D$2&gt;999,$D$2*C106,IF($D$2&gt;499,$D$2*C105,IF($D$2&gt;249,$D$2*C104,IF($D$2&gt;99,$D$2*C103,IF($D$2&gt;49,$D$2*C102,IF($D$2&gt;24,$D$2*C101,IF($D$2&gt;9,$D$2*C100,IF($D$2&gt;4,$D$2*C99,0)))))))))</f>
        <v>0</v>
      </c>
      <c r="R98" s="179">
        <f>IF('Total Price List'!$C$4&gt;0,(Q98-(Q98*'Total Price List'!$C$4)),Q98)</f>
        <v>0</v>
      </c>
      <c r="S98" s="200"/>
    </row>
    <row r="99" spans="1:19" ht="14.45" customHeight="1" x14ac:dyDescent="0.25">
      <c r="A99" s="338"/>
      <c r="B99" s="348">
        <v>5</v>
      </c>
      <c r="C99" s="349">
        <f>VLOOKUP(21011,'Total Price List'!$B$8:$J$1194,8,0)</f>
        <v>54</v>
      </c>
      <c r="D99" s="349">
        <f>VLOOKUP(21021,'Total Price List'!$B$8:$J$1194,8,0)</f>
        <v>75.599999999999994</v>
      </c>
      <c r="E99" s="349">
        <f>VLOOKUP(21031,'Total Price List'!$B$8:$J$1194,8,0)</f>
        <v>96.12</v>
      </c>
      <c r="F99" s="342"/>
      <c r="G99" s="350">
        <f>VLOOKUP(21061,'Total Price List'!$B$8:$J$1194,8,0)</f>
        <v>28.8</v>
      </c>
      <c r="H99" s="350">
        <f>VLOOKUP(21071,'Total Price List'!$B$8:$J$1194,8,0)</f>
        <v>50.400000000000006</v>
      </c>
      <c r="I99" s="350">
        <f>VLOOKUP(21081,'Total Price List'!$B$8:$J$1194,8,0)</f>
        <v>72</v>
      </c>
      <c r="J99" s="347"/>
      <c r="L99" s="183"/>
      <c r="M99" s="184"/>
      <c r="N99" s="281"/>
      <c r="O99" s="184" t="s">
        <v>821</v>
      </c>
      <c r="P99" s="184"/>
      <c r="Q99" s="185"/>
      <c r="R99" s="185"/>
      <c r="S99" s="200"/>
    </row>
    <row r="100" spans="1:19" ht="14.45" customHeight="1" x14ac:dyDescent="0.25">
      <c r="A100" s="338"/>
      <c r="B100" s="348">
        <v>10</v>
      </c>
      <c r="C100" s="349">
        <f>VLOOKUP(21012,'Total Price List'!$B$8:$J$1194,8,0)</f>
        <v>45.36</v>
      </c>
      <c r="D100" s="349">
        <f>VLOOKUP(21022,'Total Price List'!$B$8:$J$1194,8,0)</f>
        <v>66.959999999999994</v>
      </c>
      <c r="E100" s="349">
        <f>VLOOKUP(21032,'Total Price List'!$B$8:$J$1194,8,0)</f>
        <v>85.32</v>
      </c>
      <c r="F100" s="342"/>
      <c r="G100" s="350">
        <f>VLOOKUP(21062,'Total Price List'!$B$8:$J$1194,8,0)</f>
        <v>28.223999999999997</v>
      </c>
      <c r="H100" s="350">
        <f>VLOOKUP(21072,'Total Price List'!$B$8:$J$1194,8,0)</f>
        <v>49.391999999999996</v>
      </c>
      <c r="I100" s="350">
        <f>VLOOKUP(21082,'Total Price List'!$B$8:$J$1194,8,0)</f>
        <v>70.56</v>
      </c>
      <c r="J100" s="347"/>
      <c r="L100" s="176">
        <v>2</v>
      </c>
      <c r="M100" s="333">
        <f>$D$2</f>
        <v>0</v>
      </c>
      <c r="N100" s="177">
        <f>IF($P$1=TRUE,21029,IF($D$2&gt;999,21028,IF($D$2&gt;499,21027,IF($D$2&gt;249,21026,IF($D$2&gt;99,21025,IF($D$2&gt;49,21024,IF($D$2&gt;24,21023,IF($D$2&gt;9,21022,IF($D$2&gt;4,21021,0)))))))))</f>
        <v>0</v>
      </c>
      <c r="O100" s="519" t="s">
        <v>953</v>
      </c>
      <c r="P100" s="178">
        <f>IF($P$1=TRUE,D107,IF($D$2&gt;999,D106,IF($D$2&gt;499,D105,IF($D$2&gt;249,D104,IF($D$2&gt;99,D103,IF($D$2&gt;49,D102,IF($D$2&gt;24,D101,IF($D$2&gt;9,D100,IF($D$2&gt;4,D99,0)))))))))</f>
        <v>0</v>
      </c>
      <c r="Q100" s="179">
        <f>IF($P$1=TRUE,$D$2*D107,IF($D$2&gt;999,$D$2*D106,IF($D$2&gt;499,$D$2*D105,IF($D$2&gt;249,$D$2*D104,IF($D$2&gt;99,$D$2*D103,IF($D$2&gt;49,$D$2*D102,IF($D$2&gt;24,$D$2*D101,IF($D$2&gt;9,$D$2*D100,IF($D$2&gt;4,$D$2*D99,0)))))))))</f>
        <v>0</v>
      </c>
      <c r="R100" s="179">
        <f>IF('Total Price List'!$C$4&gt;0,(Q100-(Q100*'Total Price List'!$C$4)),Q100)</f>
        <v>0</v>
      </c>
      <c r="S100" s="200"/>
    </row>
    <row r="101" spans="1:19" ht="14.45" customHeight="1" x14ac:dyDescent="0.25">
      <c r="A101" s="344"/>
      <c r="B101" s="348">
        <v>25</v>
      </c>
      <c r="C101" s="349">
        <f>VLOOKUP(21013,'Total Price List'!$B$8:$J$1194,8,0)</f>
        <v>36.179999999999993</v>
      </c>
      <c r="D101" s="349">
        <f>VLOOKUP(21023,'Total Price List'!$B$8:$J$1194,8,0)</f>
        <v>51.839999999999989</v>
      </c>
      <c r="E101" s="349">
        <f>VLOOKUP(21033,'Total Price List'!$B$8:$J$1194,8,0)</f>
        <v>73.44</v>
      </c>
      <c r="F101" s="342"/>
      <c r="G101" s="350">
        <f>VLOOKUP(21063,'Total Price List'!$B$8:$J$1194,8,0)</f>
        <v>23.731200000000001</v>
      </c>
      <c r="H101" s="350">
        <f>VLOOKUP(21073,'Total Price List'!$B$8:$J$1194,8,0)</f>
        <v>41.529600000000009</v>
      </c>
      <c r="I101" s="350">
        <f>VLOOKUP(21083,'Total Price List'!$B$8:$J$1194,8,0)</f>
        <v>59.328000000000003</v>
      </c>
      <c r="J101" s="347"/>
      <c r="L101" s="183"/>
      <c r="M101" s="184"/>
      <c r="N101" s="281"/>
      <c r="O101" s="184" t="s">
        <v>822</v>
      </c>
      <c r="P101" s="184"/>
      <c r="Q101" s="185"/>
      <c r="R101" s="185"/>
      <c r="S101" s="200"/>
    </row>
    <row r="102" spans="1:19" ht="14.45" customHeight="1" x14ac:dyDescent="0.25">
      <c r="A102" s="338"/>
      <c r="B102" s="348">
        <v>50</v>
      </c>
      <c r="C102" s="349">
        <f>VLOOKUP(21014,'Total Price List'!$B$8:$J$1194,8,0)</f>
        <v>28.08</v>
      </c>
      <c r="D102" s="349">
        <f>VLOOKUP(21024,'Total Price List'!$B$8:$J$1194,8,0)</f>
        <v>43.199999999999996</v>
      </c>
      <c r="E102" s="349">
        <f>VLOOKUP(21034,'Total Price List'!$B$8:$J$1194,8,0)</f>
        <v>62.64</v>
      </c>
      <c r="F102" s="351"/>
      <c r="G102" s="350">
        <f>VLOOKUP(21064,'Total Price List'!$B$8:$J$1194,8,0)</f>
        <v>22.233599999999999</v>
      </c>
      <c r="H102" s="350">
        <f>VLOOKUP(21074,'Total Price List'!$B$8:$J$1194,8,0)</f>
        <v>38.908800000000006</v>
      </c>
      <c r="I102" s="350">
        <f>VLOOKUP(21084,'Total Price List'!$B$8:$J$1194,8,0)</f>
        <v>55.583999999999996</v>
      </c>
      <c r="J102" s="352"/>
      <c r="L102" s="176">
        <v>3</v>
      </c>
      <c r="M102" s="333">
        <f>$D$2</f>
        <v>0</v>
      </c>
      <c r="N102" s="177">
        <f>IF($P$1=TRUE,21039,IF($D$2&gt;999,21038,IF($D$2&gt;499,21037,IF($D$2&gt;249,21036,IF($D$2&gt;99,21035,IF($D$2&gt;49,21034,IF($D$2&gt;24,21033,IF($D$2&gt;9,21032,IF($D$2&gt;4,21031,0)))))))))</f>
        <v>0</v>
      </c>
      <c r="O102" s="519" t="s">
        <v>953</v>
      </c>
      <c r="P102" s="178">
        <f>IF($P$1=TRUE,E107,IF($D$2&gt;999,E106,IF($D$2&gt;499,E105,IF($D$2&gt;249,E104,IF($D$2&gt;99,E103,IF($D$2&gt;49,E102,IF($D$2&gt;24,E101,IF($D$2&gt;9,E100,IF($D$2&gt;4,E99,0)))))))))</f>
        <v>0</v>
      </c>
      <c r="Q102" s="179">
        <f>IF($P$1=TRUE,$D$2*E107,IF($D$2&gt;999,$D$2*E106,IF($D$2&gt;499,$D$2*E105,IF($D$2&gt;249,$D$2*E104,IF($D$2&gt;99,$D$2*E103,IF($D$2&gt;49,$D$2*E102,IF($D$2&gt;24,$D$2*E101,IF($D$2&gt;9,$D$2*E100,IF($D$2&gt;4,$D$2*E99,0)))))))))</f>
        <v>0</v>
      </c>
      <c r="R102" s="179">
        <f>IF('Total Price List'!$C$4&gt;0,(Q102-(Q102*'Total Price List'!$C$4)),Q102)</f>
        <v>0</v>
      </c>
      <c r="S102" s="200"/>
    </row>
    <row r="103" spans="1:19" ht="14.45" customHeight="1" x14ac:dyDescent="0.25">
      <c r="A103" s="338"/>
      <c r="B103" s="348">
        <v>100</v>
      </c>
      <c r="C103" s="349">
        <f>VLOOKUP(21015,'Total Price List'!$B$8:$J$1194,8,0)</f>
        <v>24.839999999999996</v>
      </c>
      <c r="D103" s="349">
        <f>VLOOKUP(21025,'Total Price List'!$B$8:$J$1194,8,0)</f>
        <v>37.799999999999997</v>
      </c>
      <c r="E103" s="349">
        <f>VLOOKUP(21035,'Total Price List'!$B$8:$J$1194,8,0)</f>
        <v>52.919999999999987</v>
      </c>
      <c r="F103" s="351"/>
      <c r="G103" s="350">
        <f>VLOOKUP(21065,'Total Price List'!$B$8:$J$1194,8,0)</f>
        <v>18.0288</v>
      </c>
      <c r="H103" s="350">
        <f>VLOOKUP(21075,'Total Price List'!$B$8:$J$1194,8,0)</f>
        <v>31.550400000000003</v>
      </c>
      <c r="I103" s="350">
        <f>VLOOKUP(21085,'Total Price List'!$B$8:$J$1194,8,0)</f>
        <v>45.072000000000003</v>
      </c>
      <c r="J103" s="352"/>
      <c r="L103" s="187"/>
      <c r="M103" s="188"/>
      <c r="N103" s="285"/>
      <c r="O103" s="188" t="s">
        <v>823</v>
      </c>
      <c r="P103" s="188"/>
      <c r="Q103" s="189"/>
      <c r="R103" s="189"/>
      <c r="S103" s="200"/>
    </row>
    <row r="104" spans="1:19" ht="14.45" customHeight="1" x14ac:dyDescent="0.25">
      <c r="A104" s="344"/>
      <c r="B104" s="348">
        <v>250</v>
      </c>
      <c r="C104" s="349">
        <f>VLOOKUP(21016,'Total Price List'!$B$8:$J$1194,8,0)</f>
        <v>21.599999999999998</v>
      </c>
      <c r="D104" s="349">
        <f>VLOOKUP(21026,'Total Price List'!$B$8:$J$1194,8,0)</f>
        <v>32.4</v>
      </c>
      <c r="E104" s="349">
        <f>VLOOKUP(21036,'Total Price List'!$B$8:$J$1194,8,0)</f>
        <v>44.279999999999994</v>
      </c>
      <c r="F104" s="351"/>
      <c r="G104" s="350">
        <f>VLOOKUP(21066,'Total Price List'!$B$8:$J$1194,8,0)</f>
        <v>14.123519999999999</v>
      </c>
      <c r="H104" s="350">
        <f>VLOOKUP(21076,'Total Price List'!$B$8:$J$1194,8,0)</f>
        <v>24.716159999999999</v>
      </c>
      <c r="I104" s="350">
        <f>VLOOKUP(21086,'Total Price List'!$B$8:$J$1194,8,0)</f>
        <v>35.308800000000005</v>
      </c>
      <c r="J104" s="347"/>
      <c r="L104" s="184"/>
      <c r="M104" s="184"/>
      <c r="N104" s="281"/>
      <c r="O104" s="184"/>
      <c r="P104" s="184"/>
      <c r="Q104" s="184"/>
      <c r="R104" s="184"/>
      <c r="S104" s="200"/>
    </row>
    <row r="105" spans="1:19" ht="14.45" customHeight="1" x14ac:dyDescent="0.25">
      <c r="A105" s="338"/>
      <c r="B105" s="348">
        <v>500</v>
      </c>
      <c r="C105" s="349">
        <f>VLOOKUP(21017,'Total Price List'!$B$8:$J$1194,8,0)</f>
        <v>19.439999999999998</v>
      </c>
      <c r="D105" s="349">
        <f>VLOOKUP(21027,'Total Price List'!$B$8:$J$1194,8,0)</f>
        <v>29.159999999999997</v>
      </c>
      <c r="E105" s="349">
        <f>VLOOKUP(21037,'Total Price List'!$B$8:$J$1194,8,0)</f>
        <v>39.959999999999994</v>
      </c>
      <c r="F105" s="351"/>
      <c r="G105" s="350">
        <f>VLOOKUP(21067,'Total Price List'!$B$8:$J$1194,8,0)</f>
        <v>12.245760000000001</v>
      </c>
      <c r="H105" s="350">
        <f>VLOOKUP(21077,'Total Price List'!$B$8:$J$1194,8,0)</f>
        <v>21.430080000000004</v>
      </c>
      <c r="I105" s="350">
        <f>VLOOKUP(21087,'Total Price List'!$B$8:$J$1194,8,0)</f>
        <v>30.614400000000003</v>
      </c>
      <c r="J105" s="352"/>
      <c r="L105" s="884" t="s">
        <v>810</v>
      </c>
      <c r="M105" s="885"/>
      <c r="N105" s="156" t="s">
        <v>815</v>
      </c>
      <c r="O105" s="158" t="s">
        <v>824</v>
      </c>
      <c r="P105" s="156" t="s">
        <v>826</v>
      </c>
      <c r="Q105" s="159" t="s">
        <v>818</v>
      </c>
      <c r="R105" s="159" t="s">
        <v>820</v>
      </c>
      <c r="S105" s="200"/>
    </row>
    <row r="106" spans="1:19" ht="14.45" customHeight="1" x14ac:dyDescent="0.25">
      <c r="A106" s="344"/>
      <c r="B106" s="348">
        <v>1000</v>
      </c>
      <c r="C106" s="349">
        <f>VLOOKUP(21018,'Total Price List'!$B$8:$J$1194,8,0)</f>
        <v>17.28</v>
      </c>
      <c r="D106" s="349">
        <f>VLOOKUP(21028,'Total Price List'!$B$8:$J$1194,8,0)</f>
        <v>27</v>
      </c>
      <c r="E106" s="349">
        <f>VLOOKUP(21038,'Total Price List'!$B$8:$J$1194,8,0)</f>
        <v>35.64</v>
      </c>
      <c r="F106" s="351"/>
      <c r="G106" s="350">
        <f>VLOOKUP(21068,'Total Price List'!$B$8:$J$1194,8,0)</f>
        <v>10.4832</v>
      </c>
      <c r="H106" s="350">
        <f>VLOOKUP(21078,'Total Price List'!$B$8:$J$1194,8,0)</f>
        <v>16.224</v>
      </c>
      <c r="I106" s="350">
        <f>VLOOKUP(21088,'Total Price List'!$B$8:$J$1194,8,0)</f>
        <v>21.840000000000003</v>
      </c>
      <c r="J106" s="347"/>
      <c r="L106" s="167" t="s">
        <v>814</v>
      </c>
      <c r="M106" s="168" t="s">
        <v>813</v>
      </c>
      <c r="N106" s="169" t="s">
        <v>816</v>
      </c>
      <c r="O106" s="171" t="s">
        <v>953</v>
      </c>
      <c r="P106" s="169" t="s">
        <v>817</v>
      </c>
      <c r="Q106" s="172" t="s">
        <v>819</v>
      </c>
      <c r="R106" s="172" t="s">
        <v>819</v>
      </c>
      <c r="S106" s="200"/>
    </row>
    <row r="107" spans="1:19" ht="14.45" customHeight="1" x14ac:dyDescent="0.25">
      <c r="A107" s="344"/>
      <c r="B107" s="346" t="s">
        <v>827</v>
      </c>
      <c r="C107" s="349">
        <f>VLOOKUP(21019,'Total Price List'!$B$8:$J$1194,8,0)</f>
        <v>14</v>
      </c>
      <c r="D107" s="349">
        <f>VLOOKUP(21029,'Total Price List'!$B$8:$J$1194,8,0)</f>
        <v>23</v>
      </c>
      <c r="E107" s="349">
        <f>VLOOKUP(21039,'Total Price List'!$B$8:$J$1194,8,0)</f>
        <v>34</v>
      </c>
      <c r="F107" s="351"/>
      <c r="G107" s="350">
        <f>VLOOKUP(21069,'Total Price List'!$B$8:$J$1194,8,0)</f>
        <v>13</v>
      </c>
      <c r="H107" s="350">
        <f>VLOOKUP(21079,'Total Price List'!$B$8:$J$1194,8,0)</f>
        <v>22</v>
      </c>
      <c r="I107" s="350">
        <f>VLOOKUP(21089,'Total Price List'!$B$8:$J$1194,8,0)</f>
        <v>33</v>
      </c>
      <c r="J107" s="347"/>
      <c r="L107" s="176">
        <v>1</v>
      </c>
      <c r="M107" s="333">
        <f>$D$2</f>
        <v>0</v>
      </c>
      <c r="N107" s="177">
        <f>IF($P$1=TRUE,21069,IF($D$2&gt;999,21068,IF($D$2&gt;499,21067,IF($D$2&gt;249,21066,IF($D$2&gt;99,21065,IF($D$2&gt;49,21064,IF($D$2&gt;24,21063,IF($D$2&gt;9,21062,IF($D$2&gt;4,21061,0)))))))))</f>
        <v>0</v>
      </c>
      <c r="O107" s="519" t="s">
        <v>969</v>
      </c>
      <c r="P107" s="274">
        <f>IF($P$1=TRUE,G107,IF($D$2&gt;999,G106,IF($D$2&gt;499,G105,IF($D$2&gt;249,G104,IF($D$2&gt;99,G103,IF($D$2&gt;49,G102,IF($D$2&gt;24,G101,IF($D$2&gt;9,G100,IF($D$2&gt;4,G99,0)))))))))</f>
        <v>0</v>
      </c>
      <c r="Q107" s="179">
        <f>IF($P$1=TRUE,$D$2*G107,IF($D$2&gt;999,$D$2*G106,IF($D$2&gt;499,$D$2*G105,IF($D$2&gt;249,$D$2*G104,IF($D$2&gt;99,$D$2*G103,IF($D$2&gt;49,$D$2*G102,IF($D$2&gt;24,$D$2*G101,IF($D$2&gt;9,$D$2*G100,IF($D$2&gt;4,$D$2*G99,0)))))))))</f>
        <v>0</v>
      </c>
      <c r="R107" s="179">
        <f>IF('Total Price List'!$C$5&gt;0,(Q107-(Q107*'Total Price List'!$C$5)),Q107)</f>
        <v>0</v>
      </c>
      <c r="S107" s="200"/>
    </row>
    <row r="108" spans="1:19" ht="14.45" customHeight="1" x14ac:dyDescent="0.25">
      <c r="A108" s="344"/>
      <c r="B108" s="346"/>
      <c r="C108" s="353"/>
      <c r="D108" s="353"/>
      <c r="E108" s="353"/>
      <c r="F108" s="342"/>
      <c r="G108" s="353"/>
      <c r="H108" s="353"/>
      <c r="I108" s="353"/>
      <c r="J108" s="347"/>
      <c r="L108" s="183"/>
      <c r="M108" s="184"/>
      <c r="N108" s="281"/>
      <c r="O108" s="184" t="s">
        <v>821</v>
      </c>
      <c r="P108" s="184"/>
      <c r="Q108" s="185"/>
      <c r="R108" s="185"/>
      <c r="S108" s="200"/>
    </row>
    <row r="109" spans="1:19" ht="14.45" customHeight="1" x14ac:dyDescent="0.25">
      <c r="A109" s="338"/>
      <c r="B109" s="354">
        <f>$D$2</f>
        <v>0</v>
      </c>
      <c r="C109" s="355">
        <f>IF($P$1=TRUE,$D$2*C107,IF($D$2&gt;999,$D$2*C106,IF($D$2&gt;499,$D$2*C105,IF($D$2&gt;249,$D$2*C104,IF($D$2&gt;99,$D$2*C103,IF($D$2&gt;49,$D$2*C102,IF($D$2&gt;24,$D$2*C101,IF($D$2&gt;9,$D$2*C100,IF($D$2&gt;4,$D$2*C99,0)))))))))</f>
        <v>0</v>
      </c>
      <c r="D109" s="355">
        <f t="shared" ref="D109:E109" si="18">IF($P$1=TRUE,$D$2*D107,IF($D$2&gt;999,$D$2*D106,IF($D$2&gt;499,$D$2*D105,IF($D$2&gt;249,$D$2*D104,IF($D$2&gt;99,$D$2*D103,IF($D$2&gt;49,$D$2*D102,IF($D$2&gt;24,$D$2*D101,IF($D$2&gt;9,$D$2*D100,IF($D$2&gt;4,$D$2*D99,0)))))))))</f>
        <v>0</v>
      </c>
      <c r="E109" s="355">
        <f t="shared" si="18"/>
        <v>0</v>
      </c>
      <c r="F109" s="355"/>
      <c r="G109" s="355">
        <f t="shared" ref="G109:I109" si="19">IF($P$1=TRUE,$D$2*G107,IF($D$2&gt;999,$D$2*G106,IF($D$2&gt;499,$D$2*G105,IF($D$2&gt;249,$D$2*G104,IF($D$2&gt;99,$D$2*G103,IF($D$2&gt;49,$D$2*G102,IF($D$2&gt;24,$D$2*G101,IF($D$2&gt;9,$D$2*G100,IF($D$2&gt;4,$D$2*G99,0)))))))))</f>
        <v>0</v>
      </c>
      <c r="H109" s="355">
        <f t="shared" si="19"/>
        <v>0</v>
      </c>
      <c r="I109" s="355">
        <f t="shared" si="19"/>
        <v>0</v>
      </c>
      <c r="J109" s="352"/>
      <c r="L109" s="176">
        <v>2</v>
      </c>
      <c r="M109" s="333">
        <f>$D$2</f>
        <v>0</v>
      </c>
      <c r="N109" s="177">
        <f>IF($P$1=TRUE,21079,IF($D$2&gt;999,21078,IF($D$2&gt;499,21077,IF($D$2&gt;249,21076,IF($D$2&gt;99,21075,IF($D$2&gt;49,21074,IF($D$2&gt;24,21073,IF($D$2&gt;9,21072,IF($D$2&gt;4,21071,0)))))))))</f>
        <v>0</v>
      </c>
      <c r="O109" s="519" t="s">
        <v>969</v>
      </c>
      <c r="P109" s="274">
        <f>IF($P$1=TRUE,H107,IF($D$2&gt;999,H106,IF($D$2&gt;499,H105,IF($D$2&gt;249,H104,IF($D$2&gt;99,H103,IF($D$2&gt;49,H102,IF($D$2&gt;24,H101,IF($D$2&gt;9,H100,IF($D$2&gt;4,H99,0)))))))))</f>
        <v>0</v>
      </c>
      <c r="Q109" s="179">
        <f>IF($P$1=TRUE,$D$2*H107,IF($D$2&gt;999,$D$2*H106,IF($D$2&gt;499,$D$2*H105,IF($D$2&gt;249,$D$2*H104,IF($D$2&gt;99,$D$2*H103,IF($D$2&gt;49,$D$2*H102,IF($D$2&gt;24,$D$2*H101,IF($D$2&gt;9,$D$2*H100,IF($D$2&gt;4,$D$2*H99,0)))))))))</f>
        <v>0</v>
      </c>
      <c r="R109" s="179">
        <f>IF('Total Price List'!$C$5&gt;0,(Q109-(Q109*'Total Price List'!$C$5)),Q109)</f>
        <v>0</v>
      </c>
      <c r="S109" s="200"/>
    </row>
    <row r="110" spans="1:19" ht="14.45" customHeight="1" x14ac:dyDescent="0.25">
      <c r="A110" s="344"/>
      <c r="B110" s="356" t="s">
        <v>811</v>
      </c>
      <c r="C110" s="357">
        <f>IF(C109&gt;0,C109/$D$2,0)</f>
        <v>0</v>
      </c>
      <c r="D110" s="357">
        <f t="shared" ref="D110:E110" si="20">IF(D109&gt;0,D109/$D$2,0)</f>
        <v>0</v>
      </c>
      <c r="E110" s="357">
        <f t="shared" si="20"/>
        <v>0</v>
      </c>
      <c r="F110" s="357"/>
      <c r="G110" s="357">
        <f t="shared" ref="G110:H110" si="21">IF(G109&gt;0,G109/$D$2,0)</f>
        <v>0</v>
      </c>
      <c r="H110" s="357">
        <f t="shared" si="21"/>
        <v>0</v>
      </c>
      <c r="I110" s="357">
        <f>IF(I109&gt;0,I109/$D$2,0)</f>
        <v>0</v>
      </c>
      <c r="J110" s="347"/>
      <c r="L110" s="183"/>
      <c r="M110" s="184"/>
      <c r="N110" s="281"/>
      <c r="O110" s="184" t="s">
        <v>822</v>
      </c>
      <c r="P110" s="184"/>
      <c r="Q110" s="185"/>
      <c r="R110" s="185"/>
      <c r="S110" s="200"/>
    </row>
    <row r="111" spans="1:19" ht="14.45" customHeight="1" x14ac:dyDescent="0.25">
      <c r="A111" s="338"/>
      <c r="B111" s="358"/>
      <c r="C111" s="342"/>
      <c r="D111" s="342"/>
      <c r="E111" s="342"/>
      <c r="F111" s="342"/>
      <c r="G111" s="342"/>
      <c r="H111" s="342"/>
      <c r="I111" s="342"/>
      <c r="J111" s="347"/>
      <c r="L111" s="176">
        <v>3</v>
      </c>
      <c r="M111" s="333">
        <f>$D$2</f>
        <v>0</v>
      </c>
      <c r="N111" s="177">
        <f>IF($P$1=TRUE,21089,IF($D$2&gt;999,21088,IF($D$2&gt;499,21087,IF($D$2&gt;249,21086,IF($D$2&gt;99,21085,IF($D$2&gt;49,21084,IF($D$2&gt;24,21083,IF($D$2&gt;9,21082,IF($D$2&gt;4,21081,0)))))))))</f>
        <v>0</v>
      </c>
      <c r="O111" s="519" t="s">
        <v>969</v>
      </c>
      <c r="P111" s="274">
        <f>IF($P$1=TRUE,I107,IF($D$2&gt;999,I106,IF($D$2&gt;499,I105,IF($D$2&gt;249,I104,IF($D$2&gt;99,I103,IF($D$2&gt;49,I102,IF($D$2&gt;24,I101,IF($D$2&gt;9,I100,IF($D$2&gt;4,I99,0)))))))))</f>
        <v>0</v>
      </c>
      <c r="Q111" s="179">
        <f>IF($P$1=TRUE,$D$2*I107,IF($D$2&gt;999,$D$2*I106,IF($D$2&gt;499,$D$2*I105,IF($D$2&gt;249,$D$2*I104,IF($D$2&gt;99,$D$2*I103,IF($D$2&gt;49,$D$2*I102,IF($D$2&gt;24,$D$2*I101,IF($D$2&gt;9,$D$2*I100,IF($D$2&gt;4,$D$2*I99,0)))))))))</f>
        <v>0</v>
      </c>
      <c r="R111" s="179">
        <f>IF('Total Price List'!$C$5&gt;0,(Q111-(Q111*'Total Price List'!$C$5)),Q111)</f>
        <v>0</v>
      </c>
      <c r="S111" s="200"/>
    </row>
    <row r="112" spans="1:19" ht="14.45" customHeight="1" x14ac:dyDescent="0.25">
      <c r="A112" s="359"/>
      <c r="B112" s="360"/>
      <c r="C112" s="361"/>
      <c r="D112" s="361"/>
      <c r="E112" s="361"/>
      <c r="F112" s="361"/>
      <c r="G112" s="361"/>
      <c r="H112" s="361"/>
      <c r="I112" s="361"/>
      <c r="J112" s="362"/>
      <c r="L112" s="187"/>
      <c r="M112" s="188"/>
      <c r="N112" s="285"/>
      <c r="O112" s="188" t="s">
        <v>823</v>
      </c>
      <c r="P112" s="188"/>
      <c r="Q112" s="189"/>
      <c r="R112" s="189"/>
      <c r="S112" s="200"/>
    </row>
    <row r="113" spans="1:19" x14ac:dyDescent="0.25">
      <c r="O113" s="160"/>
      <c r="S113" s="200"/>
    </row>
    <row r="114" spans="1:19" ht="14.45" customHeight="1" x14ac:dyDescent="0.25">
      <c r="A114" s="908" t="s">
        <v>506</v>
      </c>
      <c r="B114" s="909"/>
      <c r="C114" s="909"/>
      <c r="D114" s="909"/>
      <c r="E114" s="909"/>
      <c r="F114" s="909"/>
      <c r="G114" s="909"/>
      <c r="H114" s="909"/>
      <c r="I114" s="909"/>
      <c r="J114" s="910"/>
      <c r="L114" s="884" t="s">
        <v>812</v>
      </c>
      <c r="M114" s="885"/>
      <c r="N114" s="156" t="s">
        <v>815</v>
      </c>
      <c r="O114" s="158" t="s">
        <v>824</v>
      </c>
      <c r="P114" s="156" t="s">
        <v>826</v>
      </c>
      <c r="Q114" s="159" t="s">
        <v>818</v>
      </c>
      <c r="R114" s="159" t="s">
        <v>820</v>
      </c>
      <c r="S114" s="200"/>
    </row>
    <row r="115" spans="1:19" ht="14.45" customHeight="1" x14ac:dyDescent="0.25">
      <c r="A115" s="388"/>
      <c r="B115" s="389"/>
      <c r="C115" s="390" t="s">
        <v>806</v>
      </c>
      <c r="D115" s="391"/>
      <c r="E115" s="391"/>
      <c r="F115" s="391"/>
      <c r="G115" s="390" t="s">
        <v>810</v>
      </c>
      <c r="H115" s="391"/>
      <c r="I115" s="392"/>
      <c r="J115" s="393"/>
      <c r="L115" s="167" t="s">
        <v>814</v>
      </c>
      <c r="M115" s="168" t="s">
        <v>813</v>
      </c>
      <c r="N115" s="169" t="s">
        <v>816</v>
      </c>
      <c r="O115" s="171" t="s">
        <v>506</v>
      </c>
      <c r="P115" s="169" t="s">
        <v>817</v>
      </c>
      <c r="Q115" s="172" t="s">
        <v>819</v>
      </c>
      <c r="R115" s="172" t="s">
        <v>819</v>
      </c>
      <c r="S115" s="200"/>
    </row>
    <row r="116" spans="1:19" ht="14.45" customHeight="1" x14ac:dyDescent="0.25">
      <c r="A116" s="394"/>
      <c r="B116" s="395" t="s">
        <v>805</v>
      </c>
      <c r="C116" s="395" t="s">
        <v>807</v>
      </c>
      <c r="D116" s="395" t="s">
        <v>808</v>
      </c>
      <c r="E116" s="395" t="s">
        <v>809</v>
      </c>
      <c r="F116" s="392"/>
      <c r="G116" s="396" t="s">
        <v>807</v>
      </c>
      <c r="H116" s="396" t="s">
        <v>808</v>
      </c>
      <c r="I116" s="396" t="s">
        <v>809</v>
      </c>
      <c r="J116" s="397"/>
      <c r="L116" s="176">
        <v>1</v>
      </c>
      <c r="M116" s="333">
        <f>$D$2</f>
        <v>0</v>
      </c>
      <c r="N116" s="177">
        <f>IF($P$1=TRUE,20619,IF($D$2&gt;999,20618,IF($D$2&gt;499,20617,IF($D$2&gt;249,20616,IF($D$2&gt;99,20615,IF($D$2&gt;49,20614,IF($D$2&gt;24,20613,IF($D$2&gt;9,20612,0))))))))</f>
        <v>0</v>
      </c>
      <c r="O116" s="519" t="s">
        <v>506</v>
      </c>
      <c r="P116" s="178">
        <f>IF($P$1=TRUE,C124,IF($D$2&gt;999,C123,IF($D$2&gt;499,C122,IF($D$2&gt;249,C121,IF($D$2&gt;99,C120,IF($D$2&gt;49,C119,IF($D$2&gt;24,C118,IF($D$2&gt;9,C117,0))))))))</f>
        <v>0</v>
      </c>
      <c r="Q116" s="179">
        <f>IF($P$1=TRUE,$D$2*C124,IF($D$2&gt;999,$D$2*C123,IF($D$2&gt;499,$D$2*C122,IF($D$2&gt;249,$D$2*C121,IF($D$2&gt;99,$D$2*C120,IF($D$2&gt;49,$D$2*C119,IF($D$2&gt;24,$D$2*C118,IF($D$2&gt;9,$D$2*C117,0))))))))</f>
        <v>0</v>
      </c>
      <c r="R116" s="179">
        <f>IF('Total Price List'!$C$4&gt;0,(Q116-(Q116*'Total Price List'!$C$4)),Q116)</f>
        <v>0</v>
      </c>
      <c r="S116" s="200"/>
    </row>
    <row r="117" spans="1:19" ht="14.45" customHeight="1" x14ac:dyDescent="0.25">
      <c r="A117" s="388"/>
      <c r="B117" s="398">
        <v>10</v>
      </c>
      <c r="C117" s="399">
        <f>VLOOKUP(20612,'Total Price List'!$B$8:$J$1194,8,0)</f>
        <v>22.5</v>
      </c>
      <c r="D117" s="399">
        <f>VLOOKUP(20622,'Total Price List'!$B$8:$J$1194,8,0)</f>
        <v>28.125</v>
      </c>
      <c r="E117" s="399">
        <f>VLOOKUP(20632,'Total Price List'!$B$8:$J$1194,8,0)</f>
        <v>34.5</v>
      </c>
      <c r="F117" s="392"/>
      <c r="G117" s="400">
        <f>VLOOKUP(20662,'Total Price List'!$B$8:$J$1194,8,0)</f>
        <v>8</v>
      </c>
      <c r="H117" s="400">
        <f>VLOOKUP(20672,'Total Price List'!$B$8:$J$1194,8,0)</f>
        <v>14</v>
      </c>
      <c r="I117" s="400">
        <f>VLOOKUP(20682,'Total Price List'!$B$8:$J$1194,8,0)</f>
        <v>20</v>
      </c>
      <c r="J117" s="397"/>
      <c r="L117" s="183"/>
      <c r="M117" s="184"/>
      <c r="N117" s="281"/>
      <c r="O117" s="184" t="s">
        <v>821</v>
      </c>
      <c r="P117" s="184"/>
      <c r="Q117" s="185"/>
      <c r="R117" s="185"/>
      <c r="S117" s="200"/>
    </row>
    <row r="118" spans="1:19" ht="14.45" customHeight="1" x14ac:dyDescent="0.25">
      <c r="A118" s="394"/>
      <c r="B118" s="398">
        <v>25</v>
      </c>
      <c r="C118" s="399">
        <f>VLOOKUP(20613,'Total Price List'!$B$8:$J$1194,8,0)</f>
        <v>19.5</v>
      </c>
      <c r="D118" s="399">
        <f>VLOOKUP(20623,'Total Price List'!$B$8:$J$1194,8,0)</f>
        <v>24.5625</v>
      </c>
      <c r="E118" s="399">
        <f>VLOOKUP(20633,'Total Price List'!$B$8:$J$1194,8,0)</f>
        <v>30.75</v>
      </c>
      <c r="F118" s="392"/>
      <c r="G118" s="400">
        <f>VLOOKUP(20663,'Total Price List'!$B$8:$J$1194,8,0)</f>
        <v>7.2</v>
      </c>
      <c r="H118" s="400">
        <f>VLOOKUP(20673,'Total Price List'!$B$8:$J$1194,8,0)</f>
        <v>12.600000000000001</v>
      </c>
      <c r="I118" s="400">
        <f>VLOOKUP(20683,'Total Price List'!$B$8:$J$1194,8,0)</f>
        <v>18</v>
      </c>
      <c r="J118" s="397"/>
      <c r="L118" s="176">
        <v>2</v>
      </c>
      <c r="M118" s="333">
        <f>$D$2</f>
        <v>0</v>
      </c>
      <c r="N118" s="177">
        <f>IF($P$1=TRUE,20629,IF($D$2&gt;999,20628,IF($D$2&gt;499,20627,IF($D$2&gt;249,20626,IF($D$2&gt;99,20625,IF($D$2&gt;49,20624,IF($D$2&gt;24,20623,IF($D$2&gt;9,20622,0))))))))</f>
        <v>0</v>
      </c>
      <c r="O118" s="519" t="s">
        <v>506</v>
      </c>
      <c r="P118" s="178">
        <f>IF($P$1=TRUE,D124,IF($D$2&gt;999,D123,IF($D$2&gt;499,D122,IF($D$2&gt;249,D121,IF($D$2&gt;99,D120,IF($D$2&gt;49,D119,IF($D$2&gt;24,D118,IF($D$2&gt;9,D117,0))))))))</f>
        <v>0</v>
      </c>
      <c r="Q118" s="179">
        <f>IF($P$1=TRUE,$D$2*D124,IF($D$2&gt;999,$D$2*D123,IF($D$2&gt;499,$D$2*D122,IF($D$2&gt;249,$D$2*D121,IF($D$2&gt;99,$D$2*D120,IF($D$2&gt;49,$D$2*D119,IF($D$2&gt;24,$D$2*D118,IF($D$2&gt;9,$D$2*D117,0))))))))</f>
        <v>0</v>
      </c>
      <c r="R118" s="179">
        <f>IF('Total Price List'!$C$4&gt;0,(Q118-(Q118*'Total Price List'!$C$4)),Q118)</f>
        <v>0</v>
      </c>
      <c r="S118" s="200"/>
    </row>
    <row r="119" spans="1:19" ht="14.45" customHeight="1" x14ac:dyDescent="0.25">
      <c r="A119" s="388"/>
      <c r="B119" s="398">
        <v>50</v>
      </c>
      <c r="C119" s="399">
        <f>VLOOKUP(20614,'Total Price List'!$B$8:$J$1194,8,0)</f>
        <v>18</v>
      </c>
      <c r="D119" s="399">
        <f>VLOOKUP(20624,'Total Price List'!$B$8:$J$1194,8,0)</f>
        <v>21.9375</v>
      </c>
      <c r="E119" s="399">
        <f>VLOOKUP(20634,'Total Price List'!$B$8:$J$1194,8,0)</f>
        <v>27.75</v>
      </c>
      <c r="F119" s="401"/>
      <c r="G119" s="400">
        <f>VLOOKUP(20664,'Total Price List'!$B$8:$J$1194,8,0)</f>
        <v>6.4</v>
      </c>
      <c r="H119" s="400">
        <f>VLOOKUP(20674,'Total Price List'!$B$8:$J$1194,8,0)</f>
        <v>11.200000000000001</v>
      </c>
      <c r="I119" s="400">
        <f>VLOOKUP(20684,'Total Price List'!$B$8:$J$1194,8,0)</f>
        <v>16</v>
      </c>
      <c r="J119" s="402"/>
      <c r="L119" s="183"/>
      <c r="M119" s="184"/>
      <c r="N119" s="281"/>
      <c r="O119" s="184" t="s">
        <v>822</v>
      </c>
      <c r="P119" s="184"/>
      <c r="Q119" s="185"/>
      <c r="R119" s="185"/>
      <c r="S119" s="200"/>
    </row>
    <row r="120" spans="1:19" ht="14.45" customHeight="1" x14ac:dyDescent="0.25">
      <c r="A120" s="388"/>
      <c r="B120" s="398">
        <v>100</v>
      </c>
      <c r="C120" s="399">
        <f>VLOOKUP(20615,'Total Price List'!$B$8:$J$1194,8,0)</f>
        <v>15.75</v>
      </c>
      <c r="D120" s="399">
        <f>VLOOKUP(20625,'Total Price List'!$B$8:$J$1194,8,0)</f>
        <v>18.8475</v>
      </c>
      <c r="E120" s="399">
        <f>VLOOKUP(20635,'Total Price List'!$B$8:$J$1194,8,0)</f>
        <v>24.375</v>
      </c>
      <c r="F120" s="401"/>
      <c r="G120" s="400">
        <f>VLOOKUP(20665,'Total Price List'!$B$8:$J$1194,8,0)</f>
        <v>5.6000000000000005</v>
      </c>
      <c r="H120" s="400">
        <f>VLOOKUP(20675,'Total Price List'!$B$8:$J$1194,8,0)</f>
        <v>9.8000000000000007</v>
      </c>
      <c r="I120" s="400">
        <f>VLOOKUP(20685,'Total Price List'!$B$8:$J$1194,8,0)</f>
        <v>14</v>
      </c>
      <c r="J120" s="402"/>
      <c r="L120" s="176">
        <v>3</v>
      </c>
      <c r="M120" s="333">
        <f>$D$2</f>
        <v>0</v>
      </c>
      <c r="N120" s="177">
        <f>IF($P$1=TRUE,20639,IF($D$2&gt;999,20638,IF($D$2&gt;499,20637,IF($D$2&gt;249,20636,IF($D$2&gt;99,20635,IF($D$2&gt;49,20634,IF($D$2&gt;24,20633,IF($D$2&gt;9,20632,0))))))))</f>
        <v>0</v>
      </c>
      <c r="O120" s="519" t="s">
        <v>506</v>
      </c>
      <c r="P120" s="178">
        <f>IF($P$1=TRUE,E124,IF($D$2&gt;999,E123,IF($D$2&gt;499,E122,IF($D$2&gt;249,E121,IF($D$2&gt;99,E120,IF($D$2&gt;49,E119,IF($D$2&gt;24,E118,IF($D$2&gt;9,E117,0))))))))</f>
        <v>0</v>
      </c>
      <c r="Q120" s="179">
        <f>IF($P$1=TRUE,$D$2*E124,IF($D$2&gt;999,$D$2*E123,IF($D$2&gt;499,$D$2*E122,IF($D$2&gt;249,$D$2*E121,IF($D$2&gt;99,$D$2*E120,IF($D$2&gt;49,$D$2*E119,IF($D$2&gt;24,$D$2*E118,IF($D$2&gt;9,$D$2*E117,0))))))))</f>
        <v>0</v>
      </c>
      <c r="R120" s="179">
        <f>IF('Total Price List'!$C$4&gt;0,(Q120-(Q120*'Total Price List'!$C$4)),Q120)</f>
        <v>0</v>
      </c>
      <c r="S120" s="200"/>
    </row>
    <row r="121" spans="1:19" ht="14.45" customHeight="1" x14ac:dyDescent="0.25">
      <c r="A121" s="388"/>
      <c r="B121" s="398">
        <v>250</v>
      </c>
      <c r="C121" s="399">
        <f>VLOOKUP(20616,'Total Price List'!$B$8:$J$1194,8,0)</f>
        <v>12</v>
      </c>
      <c r="D121" s="399">
        <f>VLOOKUP(20626,'Total Price List'!$B$8:$J$1194,8,0)</f>
        <v>14.962499999999999</v>
      </c>
      <c r="E121" s="399">
        <f>VLOOKUP(20636,'Total Price List'!$B$8:$J$1194,8,0)</f>
        <v>19.5</v>
      </c>
      <c r="F121" s="401"/>
      <c r="G121" s="400">
        <f>VLOOKUP(20666,'Total Price List'!$B$8:$J$1194,8,0)</f>
        <v>4.8000000000000007</v>
      </c>
      <c r="H121" s="400">
        <f>VLOOKUP(20676,'Total Price List'!$B$8:$J$1194,8,0)</f>
        <v>8.4</v>
      </c>
      <c r="I121" s="400">
        <f>VLOOKUP(20686,'Total Price List'!$B$8:$J$1194,8,0)</f>
        <v>12</v>
      </c>
      <c r="J121" s="402"/>
      <c r="L121" s="187"/>
      <c r="M121" s="188"/>
      <c r="N121" s="285"/>
      <c r="O121" s="188" t="s">
        <v>823</v>
      </c>
      <c r="P121" s="188"/>
      <c r="Q121" s="189"/>
      <c r="R121" s="189"/>
      <c r="S121" s="200"/>
    </row>
    <row r="122" spans="1:19" ht="14.45" customHeight="1" x14ac:dyDescent="0.25">
      <c r="A122" s="394"/>
      <c r="B122" s="396">
        <v>500</v>
      </c>
      <c r="C122" s="399">
        <f>VLOOKUP(20617,'Total Price List'!$B$8:$J$1194,8,0)</f>
        <v>9.3000000000000007</v>
      </c>
      <c r="D122" s="399">
        <f>VLOOKUP(20627,'Total Price List'!$B$8:$J$1194,8,0)</f>
        <v>11.272499999999999</v>
      </c>
      <c r="E122" s="399">
        <f>VLOOKUP(20637,'Total Price List'!$B$8:$J$1194,8,0)</f>
        <v>15.862499999999999</v>
      </c>
      <c r="F122" s="401"/>
      <c r="G122" s="400">
        <f>VLOOKUP(20667,'Total Price List'!$B$8:$J$1194,8,0)</f>
        <v>4.4000000000000004</v>
      </c>
      <c r="H122" s="400">
        <f>VLOOKUP(20677,'Total Price List'!$B$8:$J$1194,8,0)</f>
        <v>7.7</v>
      </c>
      <c r="I122" s="400">
        <f>VLOOKUP(20687,'Total Price List'!$B$8:$J$1194,8,0)</f>
        <v>11</v>
      </c>
      <c r="J122" s="397"/>
      <c r="L122" s="184"/>
      <c r="M122" s="184"/>
      <c r="N122" s="281"/>
      <c r="O122" s="184"/>
      <c r="P122" s="184"/>
      <c r="Q122" s="184"/>
      <c r="R122" s="184"/>
      <c r="S122" s="200"/>
    </row>
    <row r="123" spans="1:19" ht="14.45" customHeight="1" x14ac:dyDescent="0.25">
      <c r="A123" s="388"/>
      <c r="B123" s="398">
        <v>1000</v>
      </c>
      <c r="C123" s="399">
        <f>VLOOKUP(20618,'Total Price List'!$B$8:$J$1194,8,0)</f>
        <v>6.8999999999999995</v>
      </c>
      <c r="D123" s="399">
        <f>VLOOKUP(20628,'Total Price List'!$B$8:$J$1194,8,0)</f>
        <v>8.5500000000000007</v>
      </c>
      <c r="E123" s="399">
        <f>VLOOKUP(20638,'Total Price List'!$B$8:$J$1194,8,0)</f>
        <v>12.975000000000001</v>
      </c>
      <c r="F123" s="401"/>
      <c r="G123" s="400">
        <f>VLOOKUP(20668,'Total Price List'!$B$8:$J$1194,8,0)</f>
        <v>4</v>
      </c>
      <c r="H123" s="400">
        <f>VLOOKUP(20678,'Total Price List'!$B$8:$J$1194,8,0)</f>
        <v>7.2</v>
      </c>
      <c r="I123" s="400">
        <f>VLOOKUP(20688,'Total Price List'!$B$8:$J$1194,8,0)</f>
        <v>9.6000000000000014</v>
      </c>
      <c r="J123" s="402"/>
      <c r="L123" s="884" t="s">
        <v>810</v>
      </c>
      <c r="M123" s="885"/>
      <c r="N123" s="156" t="s">
        <v>815</v>
      </c>
      <c r="O123" s="158" t="s">
        <v>824</v>
      </c>
      <c r="P123" s="156" t="s">
        <v>826</v>
      </c>
      <c r="Q123" s="159" t="s">
        <v>818</v>
      </c>
      <c r="R123" s="159" t="s">
        <v>820</v>
      </c>
      <c r="S123" s="200"/>
    </row>
    <row r="124" spans="1:19" ht="14.45" customHeight="1" x14ac:dyDescent="0.25">
      <c r="A124" s="388"/>
      <c r="B124" s="396" t="s">
        <v>827</v>
      </c>
      <c r="C124" s="399">
        <f>VLOOKUP(20619,'Total Price List'!$B$8:$J$1194,8,0)</f>
        <v>10</v>
      </c>
      <c r="D124" s="399">
        <f>VLOOKUP(20629,'Total Price List'!$B$8:$J$1194,8,0)</f>
        <v>16</v>
      </c>
      <c r="E124" s="399">
        <f>VLOOKUP(20639,'Total Price List'!$B$8:$J$1194,8,0)</f>
        <v>20</v>
      </c>
      <c r="F124" s="401"/>
      <c r="G124" s="400">
        <f>VLOOKUP(20669,'Total Price List'!$B$8:$J$1194,8,0)</f>
        <v>5</v>
      </c>
      <c r="H124" s="400">
        <f>VLOOKUP(20679,'Total Price List'!$B$8:$J$1194,8,0)</f>
        <v>8.75</v>
      </c>
      <c r="I124" s="400">
        <f>VLOOKUP(20689,'Total Price List'!$B$8:$J$1194,8,0)</f>
        <v>12.5</v>
      </c>
      <c r="J124" s="402"/>
      <c r="L124" s="167" t="s">
        <v>814</v>
      </c>
      <c r="M124" s="168" t="s">
        <v>813</v>
      </c>
      <c r="N124" s="169" t="s">
        <v>816</v>
      </c>
      <c r="O124" s="171" t="s">
        <v>506</v>
      </c>
      <c r="P124" s="169" t="s">
        <v>817</v>
      </c>
      <c r="Q124" s="172" t="s">
        <v>819</v>
      </c>
      <c r="R124" s="172" t="s">
        <v>819</v>
      </c>
      <c r="S124" s="200"/>
    </row>
    <row r="125" spans="1:19" ht="14.45" customHeight="1" x14ac:dyDescent="0.25">
      <c r="A125" s="394"/>
      <c r="B125" s="396"/>
      <c r="C125" s="406"/>
      <c r="D125" s="406"/>
      <c r="E125" s="406"/>
      <c r="F125" s="392"/>
      <c r="G125" s="406"/>
      <c r="H125" s="406"/>
      <c r="I125" s="406"/>
      <c r="J125" s="397"/>
      <c r="L125" s="176">
        <v>1</v>
      </c>
      <c r="M125" s="333">
        <f>$D$2</f>
        <v>0</v>
      </c>
      <c r="N125" s="177">
        <f>IF($P$1=TRUE,20669,IF($D$2&gt;999,20668,IF($D$2&gt;499,20667,IF($D$2&gt;249,20666,IF($D$2&gt;99,20665,IF($D$2&gt;49,20664,IF($D$2&gt;24,20663,IF($D$2&gt;9,20662,0))))))))</f>
        <v>0</v>
      </c>
      <c r="O125" s="519" t="s">
        <v>511</v>
      </c>
      <c r="P125" s="274">
        <f>IF($P$1=TRUE,G124,IF($D$2&gt;999,G123,IF($D$2&gt;499,G122,IF($D$2&gt;249,G121,IF($D$2&gt;99,G120,IF($D$2&gt;49,G119,IF($D$2&gt;24,G118,IF($D$2&gt;9,G117,0))))))))</f>
        <v>0</v>
      </c>
      <c r="Q125" s="179">
        <f>IF($P$1=TRUE,$D$2*G124,IF($D$2&gt;999,$D$2*G123,IF($D$2&gt;499,$D$2*G122,IF($D$2&gt;249,$D$2*G121,IF($D$2&gt;99,$D$2*G120,IF($D$2&gt;49,$D$2*G119,IF($D$2&gt;24,$D$2*G118,IF($D$2&gt;9,$D$2*G117,0))))))))</f>
        <v>0</v>
      </c>
      <c r="R125" s="179">
        <f>IF('Total Price List'!$C$5&gt;0,(Q125-(Q125*'Total Price List'!$C$5)),Q125)</f>
        <v>0</v>
      </c>
      <c r="S125" s="200"/>
    </row>
    <row r="126" spans="1:19" ht="14.45" customHeight="1" x14ac:dyDescent="0.25">
      <c r="A126" s="388"/>
      <c r="B126" s="403">
        <f>$D$2</f>
        <v>0</v>
      </c>
      <c r="C126" s="404">
        <f>IF($P$1=TRUE,$D$2*C124,IF($D$2&gt;999,$D$2*C123,IF($D$2&gt;499,$D$2*C122,IF($D$2&gt;249,$D$2*C121,IF($D$2&gt;99,$D$2*C120,IF($D$2&gt;49,$D$2*C119,IF($D$2&gt;24,$D$2*C118,IF($D$2&gt;9,$D$2*C117,0))))))))</f>
        <v>0</v>
      </c>
      <c r="D126" s="404">
        <f>IF($P$1=TRUE,$D$2*D124,IF($D$2&gt;999,$D$2*D123,IF($D$2&gt;499,$D$2*D122,IF($D$2&gt;249,$D$2*D121,IF($D$2&gt;99,$D$2*D120,IF($D$2&gt;49,$D$2*D119,IF($D$2&gt;24,$D$2*D118,IF($D$2&gt;9,$D$2*D117,0))))))))</f>
        <v>0</v>
      </c>
      <c r="E126" s="404">
        <f t="shared" ref="E126:I126" si="22">IF($P$1=TRUE,$D$2*E124,IF($D$2&gt;999,$D$2*E123,IF($D$2&gt;499,$D$2*E122,IF($D$2&gt;249,$D$2*E121,IF($D$2&gt;99,$D$2*E120,IF($D$2&gt;49,$D$2*E119,IF($D$2&gt;24,$D$2*E118,IF($D$2&gt;9,$D$2*E117,0))))))))</f>
        <v>0</v>
      </c>
      <c r="F126" s="404">
        <f t="shared" si="22"/>
        <v>0</v>
      </c>
      <c r="G126" s="404">
        <f t="shared" si="22"/>
        <v>0</v>
      </c>
      <c r="H126" s="404">
        <f t="shared" si="22"/>
        <v>0</v>
      </c>
      <c r="I126" s="404">
        <f t="shared" si="22"/>
        <v>0</v>
      </c>
      <c r="J126" s="402"/>
      <c r="L126" s="183"/>
      <c r="M126" s="184"/>
      <c r="N126" s="281"/>
      <c r="O126" s="184" t="s">
        <v>821</v>
      </c>
      <c r="P126" s="184"/>
      <c r="Q126" s="185"/>
      <c r="R126" s="185"/>
      <c r="S126" s="200"/>
    </row>
    <row r="127" spans="1:19" ht="14.45" customHeight="1" x14ac:dyDescent="0.25">
      <c r="A127" s="394"/>
      <c r="B127" s="405" t="s">
        <v>811</v>
      </c>
      <c r="C127" s="412">
        <f>IF(C126&gt;0,C126/$D$2,0)</f>
        <v>0</v>
      </c>
      <c r="D127" s="412">
        <f t="shared" ref="D127:E127" si="23">IF(D126&gt;0,D126/$D$2,0)</f>
        <v>0</v>
      </c>
      <c r="E127" s="412">
        <f t="shared" si="23"/>
        <v>0</v>
      </c>
      <c r="F127" s="412"/>
      <c r="G127" s="412">
        <f t="shared" ref="G127:H127" si="24">IF(G126&gt;0,G126/$D$2,0)</f>
        <v>0</v>
      </c>
      <c r="H127" s="412">
        <f t="shared" si="24"/>
        <v>0</v>
      </c>
      <c r="I127" s="412">
        <f>IF(I126&gt;0,I126/$D$2,0)</f>
        <v>0</v>
      </c>
      <c r="J127" s="397"/>
      <c r="L127" s="176">
        <v>2</v>
      </c>
      <c r="M127" s="333">
        <f>$D$2</f>
        <v>0</v>
      </c>
      <c r="N127" s="177">
        <f>IF($P$1=TRUE,20679,IF($D$2&gt;999,20678,IF($D$2&gt;499,20677,IF($D$2&gt;249,20676,IF($D$2&gt;99,20675,IF($D$2&gt;49,20674,IF($D$2&gt;24,20673,IF($D$2&gt;9,20672,0))))))))</f>
        <v>0</v>
      </c>
      <c r="O127" s="519" t="s">
        <v>511</v>
      </c>
      <c r="P127" s="274">
        <f>IF($P$1=TRUE,H124,IF($D$2&gt;999,H123,IF($D$2&gt;499,H122,IF($D$2&gt;249,H121,IF($D$2&gt;99,H120,IF($D$2&gt;49,H119,IF($D$2&gt;24,H118,IF($D$2&gt;9,H117,0))))))))</f>
        <v>0</v>
      </c>
      <c r="Q127" s="179">
        <f>IF($P$1=TRUE,$D$2*H124,IF($D$2&gt;999,$D$2*H123,IF($D$2&gt;499,$D$2*H122,IF($D$2&gt;249,$D$2*H121,IF($D$2&gt;99,$D$2*H120,IF($D$2&gt;49,$D$2*H119,IF($D$2&gt;24,$D$2*H118,IF($D$2&gt;9,$D$2*H117,0))))))))</f>
        <v>0</v>
      </c>
      <c r="R127" s="179">
        <f>IF('Total Price List'!$C$5&gt;0,(Q127-(Q127*'Total Price List'!$C$5)),Q127)</f>
        <v>0</v>
      </c>
      <c r="S127" s="200"/>
    </row>
    <row r="128" spans="1:19" ht="14.45" customHeight="1" x14ac:dyDescent="0.25">
      <c r="A128" s="388"/>
      <c r="B128" s="407"/>
      <c r="C128" s="392"/>
      <c r="D128" s="392"/>
      <c r="E128" s="392"/>
      <c r="F128" s="392"/>
      <c r="G128" s="392"/>
      <c r="H128" s="392"/>
      <c r="I128" s="392"/>
      <c r="J128" s="397"/>
      <c r="L128" s="183"/>
      <c r="M128" s="184"/>
      <c r="N128" s="281"/>
      <c r="O128" s="184" t="s">
        <v>822</v>
      </c>
      <c r="P128" s="184"/>
      <c r="Q128" s="185"/>
      <c r="R128" s="185"/>
      <c r="S128" s="200"/>
    </row>
    <row r="129" spans="1:19" ht="14.45" customHeight="1" x14ac:dyDescent="0.25">
      <c r="A129" s="388"/>
      <c r="B129" s="407"/>
      <c r="C129" s="392"/>
      <c r="D129" s="392"/>
      <c r="E129" s="392"/>
      <c r="F129" s="392"/>
      <c r="G129" s="392"/>
      <c r="H129" s="392"/>
      <c r="I129" s="392"/>
      <c r="J129" s="397"/>
      <c r="L129" s="176">
        <v>3</v>
      </c>
      <c r="M129" s="333">
        <f>$D$2</f>
        <v>0</v>
      </c>
      <c r="N129" s="177">
        <f>IF($P$1=TRUE,20689,IF($D$2&gt;999,20688,IF($D$2&gt;499,20687,IF($D$2&gt;249,20686,IF($D$2&gt;99,20685,IF($D$2&gt;49,20684,IF($D$2&gt;24,20683,IF($D$2&gt;9,20682,0))))))))</f>
        <v>0</v>
      </c>
      <c r="O129" s="519" t="s">
        <v>511</v>
      </c>
      <c r="P129" s="274">
        <f>IF($P$1=TRUE,I124,IF($D$2&gt;999,I123,IF($D$2&gt;499,I122,IF($D$2&gt;249,I121,IF($D$2&gt;99,I120,IF($D$2&gt;49,I119,IF($D$2&gt;24,I118,IF($D$2&gt;9,I117,0))))))))</f>
        <v>0</v>
      </c>
      <c r="Q129" s="179">
        <f>IF($P$1=TRUE,$D$2*I124,IF($D$2&gt;999,$D$2*I123,IF($D$2&gt;499,$D$2*I122,IF($D$2&gt;249,$D$2*I121,IF($D$2&gt;99,$D$2*I120,IF($D$2&gt;49,$D$2*I119,IF($D$2&gt;24,$D$2*I118,IF($D$2&gt;9,$D$2*I117,0))))))))</f>
        <v>0</v>
      </c>
      <c r="R129" s="179">
        <f>IF('Total Price List'!$C$5&gt;0,(Q129-(Q129*'Total Price List'!$C$5)),Q129)</f>
        <v>0</v>
      </c>
      <c r="S129" s="200"/>
    </row>
    <row r="130" spans="1:19" ht="14.45" customHeight="1" x14ac:dyDescent="0.25">
      <c r="A130" s="408"/>
      <c r="B130" s="409"/>
      <c r="C130" s="410"/>
      <c r="D130" s="410"/>
      <c r="E130" s="410"/>
      <c r="F130" s="410"/>
      <c r="G130" s="410"/>
      <c r="H130" s="410"/>
      <c r="I130" s="410"/>
      <c r="J130" s="411"/>
      <c r="L130" s="187"/>
      <c r="M130" s="188"/>
      <c r="N130" s="285"/>
      <c r="O130" s="188" t="s">
        <v>823</v>
      </c>
      <c r="P130" s="188"/>
      <c r="Q130" s="189"/>
      <c r="R130" s="189"/>
      <c r="S130" s="200"/>
    </row>
    <row r="131" spans="1:19" x14ac:dyDescent="0.25">
      <c r="S131" s="200"/>
    </row>
    <row r="132" spans="1:19" x14ac:dyDescent="0.25">
      <c r="S132" s="200"/>
    </row>
    <row r="133" spans="1:19" x14ac:dyDescent="0.25">
      <c r="S133" s="200"/>
    </row>
    <row r="134" spans="1:19" x14ac:dyDescent="0.25">
      <c r="S134" s="200"/>
    </row>
    <row r="135" spans="1:19" x14ac:dyDescent="0.25">
      <c r="S135" s="200"/>
    </row>
  </sheetData>
  <sheetProtection formatCells="0" formatColumns="0" formatRows="0" selectLockedCells="1"/>
  <protectedRanges>
    <protectedRange algorithmName="SHA-512" hashValue="OEEXIhL2Jq/tZ6ZxYSzRdHaZ2BtFgUAyAMrnWWdUAxxbOPnFdmR32X45jPGH+tqc1/Spn3oI5MH1bbIgvpK05Q==" saltValue="a5pk0iVf0HxhYrup494Ryg==" spinCount="100000" sqref="D2" name="Bereich1_2"/>
  </protectedRanges>
  <mergeCells count="24">
    <mergeCell ref="L123:M123"/>
    <mergeCell ref="L87:M87"/>
    <mergeCell ref="A96:J96"/>
    <mergeCell ref="L96:M96"/>
    <mergeCell ref="L105:M105"/>
    <mergeCell ref="A114:J114"/>
    <mergeCell ref="L114:M114"/>
    <mergeCell ref="A60:J60"/>
    <mergeCell ref="L60:M60"/>
    <mergeCell ref="L69:M69"/>
    <mergeCell ref="A78:J78"/>
    <mergeCell ref="L78:M78"/>
    <mergeCell ref="A42:J42"/>
    <mergeCell ref="L42:M42"/>
    <mergeCell ref="L51:M51"/>
    <mergeCell ref="A2:C3"/>
    <mergeCell ref="D2:E3"/>
    <mergeCell ref="A6:J6"/>
    <mergeCell ref="L33:M33"/>
    <mergeCell ref="A24:J24"/>
    <mergeCell ref="L6:M6"/>
    <mergeCell ref="L15:M15"/>
    <mergeCell ref="L24:M24"/>
    <mergeCell ref="L2:O2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6</xdr:col>
                    <xdr:colOff>304800</xdr:colOff>
                    <xdr:row>1</xdr:row>
                    <xdr:rowOff>9525</xdr:rowOff>
                  </from>
                  <to>
                    <xdr:col>7</xdr:col>
                    <xdr:colOff>266700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6</xdr:col>
                    <xdr:colOff>304800</xdr:colOff>
                    <xdr:row>1</xdr:row>
                    <xdr:rowOff>9525</xdr:rowOff>
                  </from>
                  <to>
                    <xdr:col>7</xdr:col>
                    <xdr:colOff>266700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6</xdr:col>
                    <xdr:colOff>304800</xdr:colOff>
                    <xdr:row>1</xdr:row>
                    <xdr:rowOff>9525</xdr:rowOff>
                  </from>
                  <to>
                    <xdr:col>7</xdr:col>
                    <xdr:colOff>266700</xdr:colOff>
                    <xdr:row>2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7C80"/>
  </sheetPr>
  <dimension ref="A1:L47"/>
  <sheetViews>
    <sheetView showGridLines="0" workbookViewId="0">
      <pane ySplit="18" topLeftCell="A19" activePane="bottomLeft" state="frozenSplit"/>
      <selection pane="bottomLeft" activeCell="D4" sqref="D4:E4"/>
    </sheetView>
  </sheetViews>
  <sheetFormatPr baseColWidth="10" defaultColWidth="11.5703125" defaultRowHeight="15" x14ac:dyDescent="0.25"/>
  <cols>
    <col min="1" max="1" width="9.42578125" style="295" customWidth="1"/>
    <col min="2" max="2" width="9.28515625" style="297" bestFit="1" customWidth="1"/>
    <col min="3" max="3" width="11.7109375" style="295" customWidth="1"/>
    <col min="4" max="4" width="4.140625" style="295" customWidth="1"/>
    <col min="5" max="5" width="4.42578125" style="295" customWidth="1"/>
    <col min="6" max="6" width="22.5703125" style="295" bestFit="1" customWidth="1"/>
    <col min="7" max="7" width="9.5703125" style="295" customWidth="1"/>
    <col min="8" max="8" width="9.7109375" style="295" customWidth="1"/>
    <col min="9" max="9" width="9.85546875" style="295" customWidth="1"/>
    <col min="10" max="10" width="1.5703125" style="295" bestFit="1" customWidth="1"/>
    <col min="11" max="11" width="3.140625" style="295" customWidth="1"/>
    <col min="12" max="12" width="20.42578125" style="295" bestFit="1" customWidth="1"/>
    <col min="13" max="15" width="3.140625" style="295" customWidth="1"/>
    <col min="16" max="16" width="3.7109375" style="295" customWidth="1"/>
    <col min="17" max="17" width="8.28515625" style="295" customWidth="1"/>
    <col min="18" max="18" width="6.28515625" style="295" customWidth="1"/>
    <col min="19" max="20" width="7.7109375" style="295" customWidth="1"/>
    <col min="21" max="21" width="29.28515625" style="295" bestFit="1" customWidth="1"/>
    <col min="22" max="24" width="11.7109375" style="295" customWidth="1"/>
    <col min="25" max="16384" width="11.5703125" style="295"/>
  </cols>
  <sheetData>
    <row r="1" spans="1:12" ht="18.600000000000001" customHeight="1" x14ac:dyDescent="0.2">
      <c r="A1" s="911" t="s">
        <v>676</v>
      </c>
      <c r="B1" s="912"/>
      <c r="C1" s="912"/>
      <c r="D1" s="912"/>
      <c r="E1" s="912"/>
      <c r="F1" s="912"/>
      <c r="G1" s="313" t="b">
        <v>0</v>
      </c>
      <c r="H1" s="301"/>
      <c r="I1" s="302"/>
      <c r="J1" s="303">
        <v>2</v>
      </c>
      <c r="L1" s="153" t="s">
        <v>825</v>
      </c>
    </row>
    <row r="2" spans="1:12" ht="15.75" thickBot="1" x14ac:dyDescent="0.3">
      <c r="B2" s="304"/>
      <c r="I2" s="415"/>
      <c r="L2" s="153"/>
    </row>
    <row r="3" spans="1:12" s="42" customFormat="1" ht="16.149999999999999" customHeight="1" thickBot="1" x14ac:dyDescent="0.25">
      <c r="A3" s="913" t="s">
        <v>829</v>
      </c>
      <c r="B3" s="914"/>
      <c r="C3" s="915"/>
      <c r="D3" s="922"/>
      <c r="E3" s="923"/>
      <c r="F3" s="299"/>
      <c r="G3" s="299"/>
      <c r="H3" s="299"/>
      <c r="I3" s="416"/>
      <c r="J3" s="320"/>
      <c r="L3" s="153"/>
    </row>
    <row r="4" spans="1:12" s="42" customFormat="1" ht="16.149999999999999" customHeight="1" thickBot="1" x14ac:dyDescent="0.25">
      <c r="A4" s="916" t="s">
        <v>830</v>
      </c>
      <c r="B4" s="917"/>
      <c r="C4" s="918"/>
      <c r="D4" s="922"/>
      <c r="E4" s="923"/>
      <c r="F4" s="323"/>
      <c r="G4" s="300"/>
      <c r="H4" s="300"/>
      <c r="I4" s="417"/>
      <c r="L4" s="153"/>
    </row>
    <row r="5" spans="1:12" s="42" customFormat="1" ht="16.149999999999999" customHeight="1" x14ac:dyDescent="0.2">
      <c r="B5" s="312"/>
      <c r="D5" s="320"/>
      <c r="E5" s="320"/>
      <c r="F5" s="320"/>
      <c r="L5" s="151"/>
    </row>
    <row r="6" spans="1:12" s="42" customFormat="1" ht="16.149999999999999" hidden="1" customHeight="1" x14ac:dyDescent="0.2">
      <c r="B6" s="919" t="s">
        <v>503</v>
      </c>
      <c r="C6" s="920"/>
      <c r="D6" s="921" t="s">
        <v>347</v>
      </c>
      <c r="E6" s="921"/>
      <c r="F6" s="921"/>
      <c r="L6" s="151"/>
    </row>
    <row r="7" spans="1:12" s="42" customFormat="1" ht="16.149999999999999" hidden="1" customHeight="1" x14ac:dyDescent="0.25">
      <c r="A7" s="298" t="s">
        <v>725</v>
      </c>
      <c r="B7" s="305">
        <f>IF(AND(G1=TRUE,D4&gt;0,D4&lt;12.01),22119,IF(AND(D3&lt;100,D3&gt;49.99,D4&gt;0,D4&lt;12.01),22114,IF(AND(D3&lt;50,D3&gt;24.99,D4&gt;0,D4&lt;12.01),22113,IF(AND(D3&lt;25,D3&gt;9.99,D4&gt;0,D4&lt;12.01),22112,IF(AND(D3&lt;10,D3&gt;4.99,D4&gt;0,D4&lt;12.01),22111,0)))))</f>
        <v>0</v>
      </c>
      <c r="C7" s="315">
        <f>IF(AND(G1=TRUE,D4&gt;0,D4&lt;12.01),22119,IF(AND(D3&lt;100,D3&gt;49.99,D4&gt;0,D4&lt;12.01),22114,IF(AND(D3&lt;50,D3&gt;24.99,D4&gt;0,D4&lt;12.01),22113,IF(AND(D3&lt;25,D3&gt;9.99,D4&gt;0,D4&lt;12.01),22112,IF(AND(D3&lt;10,D3&gt;4.99,D4&gt;0,D4&lt;12.01),22111,0)))))</f>
        <v>0</v>
      </c>
      <c r="D7" s="312">
        <f>IF(AND(G1=TRUE,D4&gt;0,D4&lt;12.01),22169,IF(AND(D3&lt;100,D3&gt;49.99,D4&gt;0,D4&lt;12.01),22164,IF(AND(D3&lt;50,D3&gt;24.99,D4&gt;0,D4&lt;12.01),22163,IF(AND(D3&lt;25,D3&gt;9.99,D4&gt;0,D4&lt;12.01),22162,IF(AND(D3&lt;10,D3&gt;4.99,D4&gt;0,D4&lt;12.01),22161,0)))))</f>
        <v>0</v>
      </c>
      <c r="E7" s="312"/>
      <c r="F7" s="312">
        <f>IF(AND(G1=TRUE,D4&gt;0,D4&lt;12.01),22169,IF(AND(D3&lt;100,D3&gt;49.99,D4&gt;0,D4&lt;12.01),22164,IF(AND(D3&lt;50,D3&gt;24.99,D4&gt;0,D4&lt;12.01),22163,IF(AND(D3&lt;25,D3&gt;9.99,D4&gt;0,D4&lt;12.01),22162,IF(AND(D3&lt;10,D3&gt;4.99,D4&gt;0,D4&lt;12.01),22161,0)))))</f>
        <v>0</v>
      </c>
      <c r="L7" s="160"/>
    </row>
    <row r="8" spans="1:12" s="42" customFormat="1" ht="16.149999999999999" hidden="1" customHeight="1" x14ac:dyDescent="0.25">
      <c r="A8" s="298" t="s">
        <v>726</v>
      </c>
      <c r="B8" s="305">
        <f>IF(AND(G1=TRUE,D4&gt;12,D4&lt;24.01),22129,IF(AND(D3&lt;100,D3&gt;49.99,D4&gt;12,D4&lt;24.01),22124,IF(AND(D3&lt;50,D3&gt;24.99,D4&gt;12,D4&lt;24.01),22123,IF(AND(D3&lt;25,D3&gt;9.99,D4&gt;12,D4&lt;24.01),22122,IF(AND(D3&lt;10,D3&gt;4.99,D4&gt;12,D4&lt;24.01),22121,0)))))</f>
        <v>0</v>
      </c>
      <c r="C8" s="315">
        <f>IF(AND(G1=TRUE,D4&gt;12,D4&lt;24.01),22129,IF(AND(D3&lt;100,D3&gt;49.99,D4&gt;12,D4&lt;24.01),22124,IF(AND(D3&lt;50,D3&gt;24.99,D4&gt;12,D4&lt;24.01),22123,IF(AND(D3&lt;25,D3&gt;9.99,D4&gt;12,D4&lt;24.01),22122,IF(AND(D3&lt;10,D3&gt;4.99,D4&gt;12,D4&lt;24.01),22121,0)))))</f>
        <v>0</v>
      </c>
      <c r="D8" s="312">
        <f>IF(AND(G1=TRUE,D4&gt;12,D4&lt;24.01),22179,IF(AND(D3&lt;100,D3&gt;49.99,D4&gt;12,D4&lt;24.01),22174,IF(AND(D3&lt;50,D3&gt;24.99,D4&gt;12,D4&lt;24.01),22173,IF(AND(D3&lt;25,D3&gt;9.99,D4&gt;12,D4&lt;24.01),22172,IF(AND(D3&lt;10,D3&gt;4.99,D4&gt;12,D4&lt;24.01),22171,0)))))</f>
        <v>0</v>
      </c>
      <c r="E8" s="312"/>
      <c r="F8" s="312">
        <f>IF(AND(G1=TRUE,D4&gt;12,D4&lt;24.01),22179,IF(AND(D3&lt;100,D3&gt;49.99,D4&gt;12,D4&lt;24.01),22174,IF(AND(D3&lt;50,D3&gt;24.99,D4&gt;12,D4&lt;24.01),22173,IF(AND(D3&lt;25,D3&gt;9.99,D4&gt;12,D4&lt;24.01),22172,IF(AND(D3&lt;10,D3&gt;4.99,D4&gt;12,D4&lt;24.01),22171,0)))))</f>
        <v>0</v>
      </c>
      <c r="L8" s="160"/>
    </row>
    <row r="9" spans="1:12" s="42" customFormat="1" ht="16.149999999999999" hidden="1" customHeight="1" x14ac:dyDescent="0.25">
      <c r="A9" s="298" t="s">
        <v>727</v>
      </c>
      <c r="B9" s="305">
        <f>IF(AND(G1=TRUE,D4&gt;24,D4&lt;36.01),22139,IF(AND(D3&lt;100,D3&gt;49.99,D4&gt;24,D4&lt;36.01),22134,IF(AND(D3&lt;50,D3&gt;24.99,D4&gt;24,D4&lt;36.01),22133,IF(AND(D3&lt;25,D3&gt;9.99,D4&gt;24,D4&lt;36.01),22132,IF(AND(D3&lt;10,D3&gt;4.99,D4&gt;24,D4&lt;36.01),22131,0)))))</f>
        <v>0</v>
      </c>
      <c r="C9" s="315">
        <f>IF(AND(G1=TRUE,D4&gt;24,D4&lt;36.01),22139,IF(AND(D3&lt;100,D3&gt;49.99,D4&gt;24,D4&lt;36.01),22134,IF(AND(D3&lt;50,D3&gt;24.99,D4&gt;24,D4&lt;36.01),22133,IF(AND(D3&lt;25,D3&gt;9.99,D4&gt;24,D4&lt;36.01),22132,IF(AND(D3&lt;10,D3&gt;4.99,D4&gt;24,D4&lt;36.01),22131,0)))))</f>
        <v>0</v>
      </c>
      <c r="D9" s="312">
        <f>IF(AND(G1=TRUE,D4&gt;24,D4&lt;36.01),22189,IF(AND(D3&lt;100,D3&gt;49.99,D4&gt;24,D4&lt;36.01),22184,IF(AND(D3&lt;50,D3&gt;24.99,D4&gt;24,D4&lt;36.01),22183,IF(AND(D3&lt;25,D3&gt;9.99,D4&gt;24,D4&lt;36.01),22182,IF(AND(D3&lt;10,D3&gt;4.99,D4&gt;24,D4&lt;36.01),22181,0)))))</f>
        <v>0</v>
      </c>
      <c r="E9" s="312"/>
      <c r="F9" s="312">
        <f>IF(AND(G1=TRUE,D4&gt;24,D4&lt;36.01),22189,IF(AND(D3&lt;100,D3&gt;49.99,D4&gt;24,D4&lt;36.01),22184,IF(AND(D3&lt;50,D3&gt;24.99,D4&gt;24,D4&lt;36.01),22183,IF(AND(D3&lt;25,D3&gt;9.99,D4&gt;24,D4&lt;36.01),22182,IF(AND(D3&lt;10,D3&gt;4.99,D4&gt;24,D4&lt;36.01),22181,0)))))</f>
        <v>0</v>
      </c>
      <c r="L9" s="160"/>
    </row>
    <row r="10" spans="1:12" s="42" customFormat="1" ht="30" hidden="1" customHeight="1" x14ac:dyDescent="0.2">
      <c r="B10" s="306" t="s">
        <v>734</v>
      </c>
      <c r="C10" s="316" t="s">
        <v>735</v>
      </c>
      <c r="D10" s="316"/>
      <c r="E10" s="316"/>
      <c r="F10" s="316"/>
    </row>
    <row r="11" spans="1:12" s="42" customFormat="1" ht="16.149999999999999" hidden="1" customHeight="1" x14ac:dyDescent="0.25">
      <c r="A11" s="298" t="s">
        <v>728</v>
      </c>
      <c r="B11" s="307">
        <f>IF(B7&gt;0,((VLOOKUP(B7,'Total Price List'!$B$8:$J$1194,8,0))/12)*D4,0)</f>
        <v>0</v>
      </c>
      <c r="C11" s="317">
        <f>(B11*(1-(IF($J$1=1,0.15,IF($J$1=2,0.205,IF($J$1=3,0.245,IF($J$1=4,0.3,0)))))))</f>
        <v>0</v>
      </c>
      <c r="D11" s="321">
        <f>IF(D7&gt;0,((VLOOKUP(B7,'Total Price List'!$B$8:$J$1194,8,0))/12)*D4,0)</f>
        <v>0</v>
      </c>
      <c r="E11" s="321"/>
      <c r="F11" s="321">
        <f>(D11*(1-(IF($J$1=1,0.15,IF($J$1=2,0.205,IF($J$1=3,0.245,IF($J$1=4,0.3,0)))))))</f>
        <v>0</v>
      </c>
    </row>
    <row r="12" spans="1:12" s="42" customFormat="1" ht="16.149999999999999" hidden="1" customHeight="1" x14ac:dyDescent="0.25">
      <c r="A12" s="298" t="s">
        <v>729</v>
      </c>
      <c r="B12" s="307">
        <f>IF(B8&gt;0,((VLOOKUP(B8,'Total Price List'!$B$8:$J$1194,8,0))/24)*D4,0)</f>
        <v>0</v>
      </c>
      <c r="C12" s="317">
        <f>(B12*(1-(IF($J$1=1,0.15,IF($J$1=2,0.205,IF($J$1=3,0.245,IF($J$1=4,0.3,0)))))))</f>
        <v>0</v>
      </c>
      <c r="D12" s="321">
        <f>IF(D8&gt;0,((VLOOKUP(B8,'Total Price List'!$B$8:$J$1194,8,0))/24)*D4,0)</f>
        <v>0</v>
      </c>
      <c r="E12" s="321"/>
      <c r="F12" s="321">
        <f>(D12*(1-(IF($J$1=1,0.15,IF($J$1=2,0.205,IF($J$1=3,0.245,IF($J$1=4,0.3,0)))))))</f>
        <v>0</v>
      </c>
    </row>
    <row r="13" spans="1:12" s="42" customFormat="1" ht="16.149999999999999" hidden="1" customHeight="1" x14ac:dyDescent="0.25">
      <c r="A13" s="298" t="s">
        <v>730</v>
      </c>
      <c r="B13" s="307">
        <f>IF(B9&gt;0,((VLOOKUP(B9,'Total Price List'!$B$8:$J$1194,8,0))/36)*D4,0)</f>
        <v>0</v>
      </c>
      <c r="C13" s="317">
        <f>(B13*(1-(IF($J$1=1,0.15,IF($J$1=2,0.205,IF($J$1=3,0.245,IF($J$1=4,0.3,0)))))))</f>
        <v>0</v>
      </c>
      <c r="D13" s="321">
        <f>IF(D9&gt;0,((VLOOKUP(B9,'Total Price List'!$B$8:$J$1194,8,0))/36)*D4,0)</f>
        <v>0</v>
      </c>
      <c r="E13" s="321"/>
      <c r="F13" s="321">
        <f>(D13*(1-(IF($J$1=1,0.15,IF($J$1=2,0.205,IF($J$1=3,0.245,IF($J$1=4,0.3,0)))))))</f>
        <v>0</v>
      </c>
    </row>
    <row r="14" spans="1:12" s="42" customFormat="1" ht="30" hidden="1" customHeight="1" x14ac:dyDescent="0.2">
      <c r="B14" s="306" t="s">
        <v>736</v>
      </c>
      <c r="C14" s="316" t="s">
        <v>737</v>
      </c>
      <c r="D14" s="316"/>
      <c r="E14" s="316"/>
      <c r="F14" s="316"/>
    </row>
    <row r="15" spans="1:12" s="42" customFormat="1" ht="16.149999999999999" hidden="1" customHeight="1" x14ac:dyDescent="0.25">
      <c r="A15" s="298" t="s">
        <v>731</v>
      </c>
      <c r="B15" s="308">
        <f>D3*B11</f>
        <v>0</v>
      </c>
      <c r="C15" s="318">
        <f>(B15*(1-(IF($J$1=1,0.15,IF($J$1=2,0.205,IF($J$1=3,0.245,IF($J$1=4,0.3,0)))))))</f>
        <v>0</v>
      </c>
      <c r="D15" s="322">
        <f>D3*D11</f>
        <v>0</v>
      </c>
      <c r="E15" s="322"/>
      <c r="F15" s="322">
        <f>(D15*(1-(IF($J$1=1,0.15,IF($J$1=2,0.205,IF($J$1=3,0.245,IF($J$1=4,0.3,0)))))))</f>
        <v>0</v>
      </c>
    </row>
    <row r="16" spans="1:12" s="42" customFormat="1" ht="16.149999999999999" hidden="1" customHeight="1" x14ac:dyDescent="0.25">
      <c r="A16" s="298" t="s">
        <v>732</v>
      </c>
      <c r="B16" s="308">
        <f>D3*B12</f>
        <v>0</v>
      </c>
      <c r="C16" s="318">
        <f>(B16*(1-(IF($J$1=1,0.15,IF($J$1=2,0.205,IF($J$1=3,0.245,IF($J$1=4,0.3,0)))))))</f>
        <v>0</v>
      </c>
      <c r="D16" s="322">
        <f>D3*D12</f>
        <v>0</v>
      </c>
      <c r="E16" s="322"/>
      <c r="F16" s="322">
        <f>(D16*(1-(IF($J$1=1,0.15,IF($J$1=2,0.205,IF($J$1=3,0.245,IF($J$1=4,0.3,0)))))))</f>
        <v>0</v>
      </c>
    </row>
    <row r="17" spans="1:12" s="42" customFormat="1" ht="16.149999999999999" hidden="1" customHeight="1" thickBot="1" x14ac:dyDescent="0.3">
      <c r="A17" s="298" t="s">
        <v>733</v>
      </c>
      <c r="B17" s="309">
        <f>D3*B13</f>
        <v>0</v>
      </c>
      <c r="C17" s="319">
        <f>(B17*(1-(IF($J$1=1,0.15,IF($J$1=2,0.205,IF($J$1=3,0.245,IF($J$1=4,0.3,0)))))))</f>
        <v>0</v>
      </c>
      <c r="D17" s="322">
        <f>D3*D13</f>
        <v>0</v>
      </c>
      <c r="E17" s="322"/>
      <c r="F17" s="322">
        <f>(D17*(1-(IF($J$1=1,0.15,IF($J$1=2,0.205,IF($J$1=3,0.245,IF($J$1=4,0.3,0)))))))</f>
        <v>0</v>
      </c>
    </row>
    <row r="18" spans="1:12" ht="14.45" hidden="1" customHeight="1" x14ac:dyDescent="0.25">
      <c r="D18" s="314"/>
      <c r="E18" s="314"/>
      <c r="F18" s="314"/>
    </row>
    <row r="19" spans="1:12" x14ac:dyDescent="0.25">
      <c r="D19" s="314"/>
      <c r="E19" s="314"/>
      <c r="F19" s="314"/>
      <c r="L19" s="314"/>
    </row>
    <row r="20" spans="1:12" ht="12" x14ac:dyDescent="0.2">
      <c r="A20" s="884" t="s">
        <v>812</v>
      </c>
      <c r="B20" s="885"/>
      <c r="C20" s="156" t="s">
        <v>815</v>
      </c>
      <c r="D20" s="157"/>
      <c r="E20" s="157"/>
      <c r="F20" s="158" t="s">
        <v>824</v>
      </c>
      <c r="G20" s="156" t="s">
        <v>826</v>
      </c>
      <c r="H20" s="159" t="s">
        <v>818</v>
      </c>
      <c r="I20" s="159" t="s">
        <v>820</v>
      </c>
      <c r="L20" s="314"/>
    </row>
    <row r="21" spans="1:12" ht="12.75" x14ac:dyDescent="0.2">
      <c r="A21" s="167" t="s">
        <v>814</v>
      </c>
      <c r="B21" s="168" t="s">
        <v>813</v>
      </c>
      <c r="C21" s="169" t="s">
        <v>816</v>
      </c>
      <c r="D21" s="170"/>
      <c r="E21" s="170"/>
      <c r="F21" s="171" t="s">
        <v>676</v>
      </c>
      <c r="G21" s="169" t="s">
        <v>817</v>
      </c>
      <c r="H21" s="172" t="s">
        <v>819</v>
      </c>
      <c r="I21" s="172" t="s">
        <v>819</v>
      </c>
      <c r="L21" s="563"/>
    </row>
    <row r="22" spans="1:12" ht="14.45" customHeight="1" x14ac:dyDescent="0.2">
      <c r="A22" s="176">
        <v>1</v>
      </c>
      <c r="B22" s="333">
        <f>$D$3</f>
        <v>0</v>
      </c>
      <c r="C22" s="177">
        <f>IF($G$1=TRUE,22119,IF($D$3&gt;999,22118,IF($D$3&gt;499,22117,IF($D$3&gt;249,22116,IF($D$3&gt;99,22115,IF($D$3&gt;49,22114,IF($D$3&gt;24,22113,IF($D$3&gt;9,22112,IF($D$3&gt;4,22111,0)))))))))</f>
        <v>0</v>
      </c>
      <c r="D22" s="924" t="s">
        <v>676</v>
      </c>
      <c r="E22" s="924"/>
      <c r="F22" s="924"/>
      <c r="G22" s="178" t="e">
        <f>VLOOKUP(C22,'Total Price List'!$B$8:$J$1194,8,0)</f>
        <v>#N/A</v>
      </c>
      <c r="H22" s="179" t="e">
        <f>B22*G22</f>
        <v>#N/A</v>
      </c>
      <c r="I22" s="179" t="e">
        <f>IF('[1]Total Price List'!$C$4&gt;0,(H22-(H22*'[1]Total Price List'!$C$4)),H22)</f>
        <v>#N/A</v>
      </c>
      <c r="L22" s="564"/>
    </row>
    <row r="23" spans="1:12" x14ac:dyDescent="0.25">
      <c r="A23" s="183"/>
      <c r="B23" s="184"/>
      <c r="C23" s="184"/>
      <c r="D23" s="927" t="s">
        <v>821</v>
      </c>
      <c r="E23" s="927"/>
      <c r="F23" s="927"/>
      <c r="G23" s="184"/>
      <c r="H23" s="185"/>
      <c r="I23" s="185"/>
    </row>
    <row r="24" spans="1:12" ht="14.45" customHeight="1" x14ac:dyDescent="0.2">
      <c r="A24" s="176">
        <v>2</v>
      </c>
      <c r="B24" s="333">
        <f>$D$3</f>
        <v>0</v>
      </c>
      <c r="C24" s="177">
        <f>IF($G$1=TRUE,22129,IF($D$3&gt;999,22128,IF($D$3&gt;499,22127,IF($D$3&gt;249,22126,IF($D$3&gt;99,22125,IF($D$3&gt;49,22124,IF($D$3&gt;24,22123,IF($D$3&gt;9,22122,IF($D$3&gt;4,22121,0)))))))))</f>
        <v>0</v>
      </c>
      <c r="D24" s="924" t="s">
        <v>676</v>
      </c>
      <c r="E24" s="924"/>
      <c r="F24" s="924"/>
      <c r="G24" s="178" t="e">
        <f>VLOOKUP(C24,'Total Price List'!$B$8:$J$1194,8,0)</f>
        <v>#N/A</v>
      </c>
      <c r="H24" s="179" t="e">
        <f>B24*G24</f>
        <v>#N/A</v>
      </c>
      <c r="I24" s="179" t="e">
        <f>IF('[1]Total Price List'!$C$4&gt;0,(H24-(H24*'[1]Total Price List'!$C$4)),H24)</f>
        <v>#N/A</v>
      </c>
    </row>
    <row r="25" spans="1:12" x14ac:dyDescent="0.25">
      <c r="A25" s="183"/>
      <c r="B25" s="184"/>
      <c r="C25" s="184"/>
      <c r="D25" s="927" t="s">
        <v>822</v>
      </c>
      <c r="E25" s="927"/>
      <c r="F25" s="927"/>
      <c r="G25" s="184"/>
      <c r="H25" s="185"/>
      <c r="I25" s="185"/>
    </row>
    <row r="26" spans="1:12" ht="14.45" customHeight="1" x14ac:dyDescent="0.2">
      <c r="A26" s="176">
        <v>3</v>
      </c>
      <c r="B26" s="333">
        <f>$D$3</f>
        <v>0</v>
      </c>
      <c r="C26" s="177">
        <f>IF($G$1=TRUE,22139,IF($D$3&gt;999,22138,IF($D$3&gt;499,22137,IF($D$3&gt;249,22136,IF($D$3&gt;99,22135,IF($D$3&gt;49,22134,IF($D$3&gt;24,22133,IF($D$3&gt;9,22132,IF($D$3&gt;4,22131,0)))))))))</f>
        <v>0</v>
      </c>
      <c r="D26" s="924" t="s">
        <v>676</v>
      </c>
      <c r="E26" s="924"/>
      <c r="F26" s="924"/>
      <c r="G26" s="178" t="e">
        <f>VLOOKUP(C26,'Total Price List'!$B$8:$J$1194,8,0)</f>
        <v>#N/A</v>
      </c>
      <c r="H26" s="179" t="e">
        <f>B26*G26</f>
        <v>#N/A</v>
      </c>
      <c r="I26" s="179" t="e">
        <f>IF('[1]Total Price List'!$C$4&gt;0,(H26-(H26*'[1]Total Price List'!$C$4)),H26)</f>
        <v>#N/A</v>
      </c>
    </row>
    <row r="27" spans="1:12" x14ac:dyDescent="0.25">
      <c r="A27" s="187"/>
      <c r="B27" s="188"/>
      <c r="C27" s="188"/>
      <c r="D27" s="927" t="s">
        <v>823</v>
      </c>
      <c r="E27" s="927"/>
      <c r="F27" s="927"/>
      <c r="G27" s="188"/>
      <c r="H27" s="189"/>
      <c r="I27" s="189"/>
    </row>
    <row r="28" spans="1:12" ht="12" x14ac:dyDescent="0.2">
      <c r="A28" s="42"/>
      <c r="B28" s="42"/>
      <c r="C28" s="42"/>
      <c r="D28" s="42"/>
      <c r="E28" s="42"/>
      <c r="F28" s="42"/>
      <c r="G28" s="42"/>
      <c r="H28" s="42"/>
      <c r="I28" s="42"/>
    </row>
    <row r="29" spans="1:12" ht="14.45" customHeight="1" x14ac:dyDescent="0.2">
      <c r="A29" s="884" t="s">
        <v>347</v>
      </c>
      <c r="B29" s="885"/>
      <c r="C29" s="156" t="s">
        <v>815</v>
      </c>
      <c r="D29" s="926" t="s">
        <v>824</v>
      </c>
      <c r="E29" s="926"/>
      <c r="F29" s="926"/>
      <c r="G29" s="156" t="s">
        <v>826</v>
      </c>
      <c r="H29" s="159" t="s">
        <v>818</v>
      </c>
      <c r="I29" s="159" t="s">
        <v>820</v>
      </c>
    </row>
    <row r="30" spans="1:12" ht="13.9" customHeight="1" x14ac:dyDescent="0.2">
      <c r="A30" s="167" t="s">
        <v>814</v>
      </c>
      <c r="B30" s="168" t="s">
        <v>813</v>
      </c>
      <c r="C30" s="169" t="s">
        <v>816</v>
      </c>
      <c r="D30" s="925" t="s">
        <v>738</v>
      </c>
      <c r="E30" s="925"/>
      <c r="F30" s="925"/>
      <c r="G30" s="169" t="s">
        <v>817</v>
      </c>
      <c r="H30" s="172" t="s">
        <v>819</v>
      </c>
      <c r="I30" s="172" t="s">
        <v>819</v>
      </c>
    </row>
    <row r="31" spans="1:12" ht="14.45" customHeight="1" x14ac:dyDescent="0.2">
      <c r="A31" s="176">
        <v>1</v>
      </c>
      <c r="B31" s="333">
        <f>$D$3</f>
        <v>0</v>
      </c>
      <c r="C31" s="177">
        <f>IF($G$1=TRUE,22169,IF($D$3&gt;999,22168,IF($D$3&gt;499,22167,IF($D$3&gt;249,22166,IF($D$3&gt;99,22165,IF($D$3&gt;49,22164,IF($D$3&gt;24,22163,IF($D$3&gt;9,22162,IF($D$3&gt;4,22161,0)))))))))</f>
        <v>0</v>
      </c>
      <c r="D31" s="924" t="s">
        <v>738</v>
      </c>
      <c r="E31" s="924"/>
      <c r="F31" s="924"/>
      <c r="G31" s="178" t="e">
        <f>VLOOKUP(C31,'Total Price List'!$B$8:$J$1194,8,0)</f>
        <v>#N/A</v>
      </c>
      <c r="H31" s="179" t="e">
        <f>B31*G31</f>
        <v>#N/A</v>
      </c>
      <c r="I31" s="179" t="e">
        <f>IF('[1]Total Price List'!$C$5&gt;0,(H31-(H31*'[1]Total Price List'!$C$5)),H31)</f>
        <v>#N/A</v>
      </c>
    </row>
    <row r="32" spans="1:12" x14ac:dyDescent="0.25">
      <c r="A32" s="183"/>
      <c r="B32" s="184"/>
      <c r="C32" s="184"/>
      <c r="D32" s="927" t="s">
        <v>821</v>
      </c>
      <c r="E32" s="927"/>
      <c r="F32" s="927"/>
      <c r="G32" s="184"/>
      <c r="H32" s="185"/>
      <c r="I32" s="185"/>
    </row>
    <row r="33" spans="1:9" ht="14.45" customHeight="1" x14ac:dyDescent="0.2">
      <c r="A33" s="176">
        <v>2</v>
      </c>
      <c r="B33" s="333">
        <f>$D$3</f>
        <v>0</v>
      </c>
      <c r="C33" s="177">
        <f>IF($G$1=TRUE,22179,IF($D$3&gt;999,22178,IF($D$3&gt;499,22177,IF($D$3&gt;249,22176,IF($D$3&gt;99,22175,IF($D$3&gt;49,22174,IF($D$3&gt;24,22173,IF($D$3&gt;9,22172,IF($D$3&gt;4,22171,0)))))))))</f>
        <v>0</v>
      </c>
      <c r="D33" s="924" t="s">
        <v>738</v>
      </c>
      <c r="E33" s="924"/>
      <c r="F33" s="924"/>
      <c r="G33" s="178" t="e">
        <f>VLOOKUP(C33,'Total Price List'!$B$8:$J$1194,8,0)</f>
        <v>#N/A</v>
      </c>
      <c r="H33" s="179" t="e">
        <f>B33*G33</f>
        <v>#N/A</v>
      </c>
      <c r="I33" s="179" t="e">
        <f>IF('[1]Total Price List'!$C$5&gt;0,(H33-(H33*'[1]Total Price List'!$C$5)),H33)</f>
        <v>#N/A</v>
      </c>
    </row>
    <row r="34" spans="1:9" x14ac:dyDescent="0.25">
      <c r="A34" s="183"/>
      <c r="B34" s="184"/>
      <c r="C34" s="184"/>
      <c r="D34" s="927" t="s">
        <v>822</v>
      </c>
      <c r="E34" s="927"/>
      <c r="F34" s="927"/>
      <c r="G34" s="184"/>
      <c r="H34" s="185"/>
      <c r="I34" s="185"/>
    </row>
    <row r="35" spans="1:9" ht="14.45" customHeight="1" x14ac:dyDescent="0.2">
      <c r="A35" s="176">
        <v>3</v>
      </c>
      <c r="B35" s="333">
        <f>$D$3</f>
        <v>0</v>
      </c>
      <c r="C35" s="177">
        <f>IF($G$1=TRUE,22189,IF($D$3&gt;999,22188,IF($D$3&gt;499,22187,IF($D$3&gt;249,22186,IF($D$3&gt;99,22185,IF($D$3&gt;49,22184,IF($D$3&gt;24,22183,IF($D$3&gt;9,22182,IF($D$3&gt;4,22181,0)))))))))</f>
        <v>0</v>
      </c>
      <c r="D35" s="924" t="s">
        <v>738</v>
      </c>
      <c r="E35" s="924"/>
      <c r="F35" s="924"/>
      <c r="G35" s="178" t="e">
        <f>VLOOKUP(C35,'Total Price List'!$B$8:$J$1194,8,0)</f>
        <v>#N/A</v>
      </c>
      <c r="H35" s="179" t="e">
        <f>B35*G35</f>
        <v>#N/A</v>
      </c>
      <c r="I35" s="179" t="e">
        <f>IF('[1]Total Price List'!$C$5&gt;0,(H35-(H35*'[1]Total Price List'!$C$5)),H35)</f>
        <v>#N/A</v>
      </c>
    </row>
    <row r="36" spans="1:9" x14ac:dyDescent="0.25">
      <c r="A36" s="187"/>
      <c r="B36" s="188"/>
      <c r="C36" s="188"/>
      <c r="D36" s="927" t="s">
        <v>823</v>
      </c>
      <c r="E36" s="927"/>
      <c r="F36" s="927"/>
      <c r="G36" s="188"/>
      <c r="H36" s="189"/>
      <c r="I36" s="189"/>
    </row>
    <row r="37" spans="1:9" ht="12" x14ac:dyDescent="0.2">
      <c r="B37" s="295"/>
    </row>
    <row r="38" spans="1:9" ht="12" x14ac:dyDescent="0.2">
      <c r="B38" s="295"/>
    </row>
    <row r="39" spans="1:9" ht="14.45" customHeight="1" x14ac:dyDescent="0.2">
      <c r="A39" s="884" t="s">
        <v>812</v>
      </c>
      <c r="B39" s="885"/>
      <c r="C39" s="156" t="s">
        <v>815</v>
      </c>
      <c r="D39" s="926" t="s">
        <v>824</v>
      </c>
      <c r="E39" s="926"/>
      <c r="F39" s="926"/>
      <c r="G39" s="156" t="s">
        <v>826</v>
      </c>
      <c r="H39" s="159" t="s">
        <v>818</v>
      </c>
      <c r="I39" s="159" t="s">
        <v>820</v>
      </c>
    </row>
    <row r="40" spans="1:9" ht="24" customHeight="1" x14ac:dyDescent="0.2">
      <c r="A40" s="167" t="s">
        <v>831</v>
      </c>
      <c r="B40" s="168" t="s">
        <v>813</v>
      </c>
      <c r="C40" s="169" t="s">
        <v>816</v>
      </c>
      <c r="D40" s="925" t="s">
        <v>676</v>
      </c>
      <c r="E40" s="925"/>
      <c r="F40" s="925"/>
      <c r="G40" s="169" t="s">
        <v>817</v>
      </c>
      <c r="H40" s="172" t="s">
        <v>819</v>
      </c>
      <c r="I40" s="172" t="s">
        <v>819</v>
      </c>
    </row>
    <row r="41" spans="1:9" ht="14.45" customHeight="1" x14ac:dyDescent="0.2">
      <c r="A41" s="310">
        <f>$D$4</f>
        <v>0</v>
      </c>
      <c r="B41" s="333">
        <f>$D$3</f>
        <v>0</v>
      </c>
      <c r="C41" s="177">
        <f>IF(B7&gt;0,B7,IF(B8&gt;0,B8,IF(B9&gt;0,B9,0)))</f>
        <v>0</v>
      </c>
      <c r="D41" s="924" t="s">
        <v>676</v>
      </c>
      <c r="E41" s="924"/>
      <c r="F41" s="924"/>
      <c r="G41" s="178">
        <f>IF(B11&gt;0,B11,IF(B12&gt;0,B12,IF(B13&gt;0,B13,0)))</f>
        <v>0</v>
      </c>
      <c r="H41" s="179">
        <f>IF(B15&gt;0,B15,IF(B16&gt;0,B16,IF(B17&gt;0,B17,0)))</f>
        <v>0</v>
      </c>
      <c r="I41" s="179">
        <f>(H41*(1-(IF($G$1=TRUE,0.25,IF($J$1=1,0.25,IF($J$1=2,0,0))))))</f>
        <v>0</v>
      </c>
    </row>
    <row r="42" spans="1:9" x14ac:dyDescent="0.25">
      <c r="A42" s="187"/>
      <c r="B42" s="188"/>
      <c r="C42" s="311"/>
      <c r="D42" s="188" t="s">
        <v>833</v>
      </c>
      <c r="E42" s="188">
        <f>$D$4</f>
        <v>0</v>
      </c>
      <c r="F42" s="188" t="s">
        <v>832</v>
      </c>
      <c r="G42" s="188"/>
      <c r="H42" s="189"/>
      <c r="I42" s="189"/>
    </row>
    <row r="43" spans="1:9" ht="12" x14ac:dyDescent="0.2">
      <c r="B43" s="295"/>
    </row>
    <row r="44" spans="1:9" ht="14.45" customHeight="1" x14ac:dyDescent="0.2">
      <c r="A44" s="884" t="s">
        <v>810</v>
      </c>
      <c r="B44" s="885"/>
      <c r="C44" s="156" t="s">
        <v>815</v>
      </c>
      <c r="D44" s="926" t="s">
        <v>824</v>
      </c>
      <c r="E44" s="926"/>
      <c r="F44" s="926"/>
      <c r="G44" s="156" t="s">
        <v>826</v>
      </c>
      <c r="H44" s="159" t="s">
        <v>818</v>
      </c>
      <c r="I44" s="159" t="s">
        <v>820</v>
      </c>
    </row>
    <row r="45" spans="1:9" ht="24" customHeight="1" x14ac:dyDescent="0.2">
      <c r="A45" s="167" t="s">
        <v>831</v>
      </c>
      <c r="B45" s="168" t="s">
        <v>813</v>
      </c>
      <c r="C45" s="169" t="s">
        <v>816</v>
      </c>
      <c r="D45" s="925" t="s">
        <v>738</v>
      </c>
      <c r="E45" s="925"/>
      <c r="F45" s="925"/>
      <c r="G45" s="169" t="s">
        <v>817</v>
      </c>
      <c r="H45" s="172" t="s">
        <v>819</v>
      </c>
      <c r="I45" s="172" t="s">
        <v>819</v>
      </c>
    </row>
    <row r="46" spans="1:9" ht="14.45" customHeight="1" x14ac:dyDescent="0.2">
      <c r="A46" s="310">
        <f>$D$4</f>
        <v>0</v>
      </c>
      <c r="B46" s="333">
        <f>$D$3</f>
        <v>0</v>
      </c>
      <c r="C46" s="177">
        <f>IF(D7&gt;0,D7,IF(D8&gt;0,D8,IF(D9&gt;0,D9,0)))</f>
        <v>0</v>
      </c>
      <c r="D46" s="924" t="s">
        <v>738</v>
      </c>
      <c r="E46" s="924"/>
      <c r="F46" s="924"/>
      <c r="G46" s="178">
        <f>IF(D11&gt;0,D11,IF(D12&gt;0,D12,IF(D13&gt;0,D13,0)))</f>
        <v>0</v>
      </c>
      <c r="H46" s="179">
        <f>IF(D15&gt;0,D15,IF(D16&gt;0,D16,IF(D17&gt;0,D17,0)))</f>
        <v>0</v>
      </c>
      <c r="I46" s="179">
        <f>IF('[1]Total Price List'!$C$5&gt;0,(H46-(H46*'[1]Total Price List'!$C$5)),H46)</f>
        <v>0</v>
      </c>
    </row>
    <row r="47" spans="1:9" x14ac:dyDescent="0.25">
      <c r="A47" s="187"/>
      <c r="B47" s="188"/>
      <c r="C47" s="311"/>
      <c r="D47" s="311" t="s">
        <v>833</v>
      </c>
      <c r="E47" s="188">
        <f>$D$4</f>
        <v>0</v>
      </c>
      <c r="F47" s="188" t="s">
        <v>832</v>
      </c>
      <c r="G47" s="188"/>
      <c r="H47" s="189"/>
      <c r="I47" s="189"/>
    </row>
  </sheetData>
  <mergeCells count="31">
    <mergeCell ref="D23:F23"/>
    <mergeCell ref="D24:F24"/>
    <mergeCell ref="D25:F25"/>
    <mergeCell ref="D26:F26"/>
    <mergeCell ref="D27:F27"/>
    <mergeCell ref="D45:F45"/>
    <mergeCell ref="D46:F46"/>
    <mergeCell ref="D29:F29"/>
    <mergeCell ref="D32:F32"/>
    <mergeCell ref="D31:F31"/>
    <mergeCell ref="D30:F30"/>
    <mergeCell ref="D33:F33"/>
    <mergeCell ref="D34:F34"/>
    <mergeCell ref="D35:F35"/>
    <mergeCell ref="D36:F36"/>
    <mergeCell ref="A44:B44"/>
    <mergeCell ref="A1:F1"/>
    <mergeCell ref="A3:C3"/>
    <mergeCell ref="A4:C4"/>
    <mergeCell ref="B6:C6"/>
    <mergeCell ref="D6:F6"/>
    <mergeCell ref="A20:B20"/>
    <mergeCell ref="A29:B29"/>
    <mergeCell ref="A39:B39"/>
    <mergeCell ref="D3:E3"/>
    <mergeCell ref="D4:E4"/>
    <mergeCell ref="D22:F22"/>
    <mergeCell ref="D40:F40"/>
    <mergeCell ref="D41:F41"/>
    <mergeCell ref="D39:F39"/>
    <mergeCell ref="D44:F44"/>
  </mergeCells>
  <conditionalFormatting sqref="C7:C9 C15:C17 C11:C13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B7:B9 B15:B17 B11:B13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F7:F9 F15:F17 F11:F13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7:E9 D15:E17 D11:E13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8740157499999996" bottom="0.78740157499999996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4" name="Check Box 3">
              <controlPr defaultSize="0" autoFill="0" autoLine="0" autoPict="0" altText="GOV">
                <anchor moveWithCells="1">
                  <from>
                    <xdr:col>8</xdr:col>
                    <xdr:colOff>104775</xdr:colOff>
                    <xdr:row>2</xdr:row>
                    <xdr:rowOff>9525</xdr:rowOff>
                  </from>
                  <to>
                    <xdr:col>9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5" name="Check Box 4">
              <controlPr defaultSize="0" autoFill="0" autoLine="0" autoPict="0" altText="GOV">
                <anchor moveWithCells="1">
                  <from>
                    <xdr:col>8</xdr:col>
                    <xdr:colOff>104775</xdr:colOff>
                    <xdr:row>2</xdr:row>
                    <xdr:rowOff>9525</xdr:rowOff>
                  </from>
                  <to>
                    <xdr:col>9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7C80"/>
  </sheetPr>
  <dimension ref="A1:O113"/>
  <sheetViews>
    <sheetView showGridLines="0" workbookViewId="0">
      <pane ySplit="4" topLeftCell="A5" activePane="bottomLeft" state="frozenSplit"/>
      <selection pane="bottomLeft" activeCell="A22" sqref="A22:F22"/>
    </sheetView>
  </sheetViews>
  <sheetFormatPr baseColWidth="10" defaultColWidth="11.5703125" defaultRowHeight="15" x14ac:dyDescent="0.25"/>
  <cols>
    <col min="1" max="1" width="9.7109375" style="160" bestFit="1" customWidth="1"/>
    <col min="2" max="2" width="8" style="160" bestFit="1" customWidth="1"/>
    <col min="3" max="5" width="12.28515625" style="160" customWidth="1"/>
    <col min="6" max="6" width="16.85546875" style="160" customWidth="1"/>
    <col min="7" max="7" width="3.42578125" style="200" customWidth="1"/>
    <col min="8" max="8" width="3.7109375" style="160" customWidth="1"/>
    <col min="9" max="9" width="7.7109375" style="160" bestFit="1" customWidth="1"/>
    <col min="10" max="10" width="6.42578125" style="286" customWidth="1"/>
    <col min="11" max="11" width="40.28515625" style="286" bestFit="1" customWidth="1"/>
    <col min="12" max="12" width="9.7109375" style="160" customWidth="1"/>
    <col min="13" max="13" width="11.85546875" style="160" customWidth="1"/>
    <col min="14" max="15" width="10.7109375" style="160" customWidth="1"/>
    <col min="16" max="16" width="1.7109375" style="160" customWidth="1"/>
    <col min="17" max="16384" width="11.5703125" style="160"/>
  </cols>
  <sheetData>
    <row r="1" spans="1:15" s="147" customFormat="1" ht="4.9000000000000004" customHeight="1" thickBot="1" x14ac:dyDescent="0.3">
      <c r="A1" s="645"/>
      <c r="B1" s="646"/>
      <c r="C1" s="645"/>
      <c r="D1" s="645"/>
      <c r="E1" s="645"/>
      <c r="F1" s="645"/>
      <c r="G1" s="645"/>
      <c r="H1" s="645"/>
      <c r="I1" s="645"/>
      <c r="J1" s="653"/>
      <c r="K1" s="653"/>
      <c r="L1" s="647" t="s">
        <v>825</v>
      </c>
      <c r="M1" s="647"/>
      <c r="N1" s="648"/>
      <c r="O1" s="648"/>
    </row>
    <row r="2" spans="1:15" s="147" customFormat="1" ht="14.45" customHeight="1" x14ac:dyDescent="0.25">
      <c r="A2" s="886" t="s">
        <v>928</v>
      </c>
      <c r="B2" s="887"/>
      <c r="C2" s="887"/>
      <c r="D2" s="888"/>
      <c r="E2" s="889"/>
      <c r="F2" s="645"/>
      <c r="G2" s="645"/>
      <c r="H2" s="934"/>
      <c r="I2" s="934"/>
      <c r="J2" s="934"/>
      <c r="K2" s="934"/>
      <c r="L2" s="647"/>
      <c r="M2" s="647"/>
      <c r="N2" s="649"/>
      <c r="O2" s="649"/>
    </row>
    <row r="3" spans="1:15" s="147" customFormat="1" ht="15" customHeight="1" thickBot="1" x14ac:dyDescent="0.3">
      <c r="A3" s="887"/>
      <c r="B3" s="887"/>
      <c r="C3" s="887"/>
      <c r="D3" s="890"/>
      <c r="E3" s="891"/>
      <c r="F3" s="645"/>
      <c r="G3" s="645"/>
      <c r="H3" s="645"/>
      <c r="I3" s="645"/>
      <c r="J3" s="653"/>
      <c r="K3" s="653"/>
      <c r="L3" s="647"/>
      <c r="M3" s="647"/>
      <c r="N3" s="649"/>
      <c r="O3" s="649"/>
    </row>
    <row r="4" spans="1:15" s="147" customFormat="1" ht="12.6" customHeight="1" x14ac:dyDescent="0.4">
      <c r="A4" s="645"/>
      <c r="B4" s="646"/>
      <c r="C4" s="645"/>
      <c r="D4" s="650"/>
      <c r="E4" s="650"/>
      <c r="F4" s="645"/>
      <c r="G4" s="645"/>
      <c r="H4" s="651"/>
      <c r="I4" s="651"/>
      <c r="J4" s="654"/>
      <c r="K4" s="654"/>
      <c r="L4" s="647"/>
      <c r="M4" s="647">
        <v>2</v>
      </c>
      <c r="N4" s="649"/>
      <c r="O4" s="649"/>
    </row>
    <row r="5" spans="1:15" s="154" customFormat="1" ht="7.15" customHeight="1" x14ac:dyDescent="0.25">
      <c r="A5" s="656"/>
      <c r="B5" s="657"/>
      <c r="C5" s="656"/>
      <c r="D5" s="656"/>
      <c r="E5" s="656"/>
      <c r="F5" s="656"/>
      <c r="G5" s="656"/>
      <c r="H5" s="656"/>
      <c r="I5" s="656"/>
      <c r="J5" s="768"/>
      <c r="K5" s="768"/>
      <c r="L5" s="658"/>
      <c r="M5" s="658"/>
      <c r="N5" s="656"/>
      <c r="O5" s="656"/>
    </row>
    <row r="6" spans="1:15" ht="14.45" customHeight="1" x14ac:dyDescent="0.25">
      <c r="A6" s="892" t="s">
        <v>507</v>
      </c>
      <c r="B6" s="893"/>
      <c r="C6" s="893"/>
      <c r="D6" s="893"/>
      <c r="E6" s="893"/>
      <c r="F6" s="894"/>
      <c r="G6" s="660"/>
      <c r="H6" s="884" t="s">
        <v>812</v>
      </c>
      <c r="I6" s="885"/>
      <c r="J6" s="661" t="s">
        <v>815</v>
      </c>
      <c r="K6" s="662" t="s">
        <v>824</v>
      </c>
      <c r="L6" s="661" t="s">
        <v>826</v>
      </c>
      <c r="M6" s="663" t="s">
        <v>818</v>
      </c>
      <c r="N6" s="663" t="s">
        <v>820</v>
      </c>
      <c r="O6" s="655"/>
    </row>
    <row r="7" spans="1:15" ht="14.45" customHeight="1" x14ac:dyDescent="0.25">
      <c r="A7" s="824"/>
      <c r="B7" s="825"/>
      <c r="C7" s="826" t="s">
        <v>806</v>
      </c>
      <c r="D7" s="827"/>
      <c r="E7" s="827"/>
      <c r="F7" s="828"/>
      <c r="G7" s="665"/>
      <c r="H7" s="666" t="s">
        <v>814</v>
      </c>
      <c r="I7" s="667" t="s">
        <v>813</v>
      </c>
      <c r="J7" s="668" t="s">
        <v>816</v>
      </c>
      <c r="K7" s="669" t="s">
        <v>18</v>
      </c>
      <c r="L7" s="668" t="s">
        <v>817</v>
      </c>
      <c r="M7" s="670" t="s">
        <v>819</v>
      </c>
      <c r="N7" s="670" t="s">
        <v>819</v>
      </c>
      <c r="O7" s="655"/>
    </row>
    <row r="8" spans="1:15" ht="14.45" customHeight="1" x14ac:dyDescent="0.25">
      <c r="A8" s="829"/>
      <c r="B8" s="830" t="s">
        <v>805</v>
      </c>
      <c r="C8" s="830" t="s">
        <v>807</v>
      </c>
      <c r="D8" s="830" t="s">
        <v>808</v>
      </c>
      <c r="E8" s="830" t="s">
        <v>809</v>
      </c>
      <c r="F8" s="831"/>
      <c r="G8" s="656"/>
      <c r="H8" s="671">
        <v>1</v>
      </c>
      <c r="I8" s="818">
        <f>$D$2</f>
        <v>0</v>
      </c>
      <c r="J8" s="672">
        <f>IF($D$2&gt;999,21218,IF($D$2&gt;499,21217,IF($D$2&gt;249,21216,IF($D$2&gt;99,21215,IF($D$2&gt;49,21214,IF($D$2&gt;24,21213,IF($D$2&gt;9,21212,IF($D$2&gt;4,21211,0))))))))</f>
        <v>0</v>
      </c>
      <c r="K8" s="674" t="s">
        <v>507</v>
      </c>
      <c r="L8" s="673">
        <f>IF($D$2&gt;999,C16,IF($D$2&gt;499,C15,IF($D$2&gt;249,C14,IF($D$2&gt;99,C13,IF($D$2&gt;49,C12,IF($D$2&gt;24,C11,IF($D$2&gt;9,C10,IF($D$2&gt;4,C9,0))))))))</f>
        <v>0</v>
      </c>
      <c r="M8" s="675">
        <f>IF($D$2&gt;999,$D$2*C16,IF($D$2&gt;499,$D$2*C15,IF($D$2&gt;249,$D$2*C14,IF($D$2&gt;99,$D$2*C13,IF($D$2&gt;49,$D$2*C12,IF($D$2&gt;24,$D$2*C11,IF($D$2&gt;9,$D$2*C10,IF($D$2&gt;4,$D$2*C9,0))))))))</f>
        <v>0</v>
      </c>
      <c r="N8" s="675">
        <f>IF('[1]Total Price List'!$C$4&gt;0,(M8-(M8*'[1]Total Price List'!$C$4)),M8)</f>
        <v>0</v>
      </c>
      <c r="O8" s="655"/>
    </row>
    <row r="9" spans="1:15" ht="14.45" customHeight="1" x14ac:dyDescent="0.25">
      <c r="A9" s="824"/>
      <c r="B9" s="832">
        <v>5</v>
      </c>
      <c r="C9" s="833">
        <f>VLOOKUP(21211,'Total Price List'!$B$8:$J$1194,8,0)</f>
        <v>30.400000000000002</v>
      </c>
      <c r="D9" s="834">
        <f>VLOOKUP(21221,'Total Price List'!$B$8:$J$1194,8,0)</f>
        <v>47.400000000000006</v>
      </c>
      <c r="E9" s="834">
        <f>VLOOKUP(21231,'Total Price List'!$B$8:$J$1194,8,0)</f>
        <v>60.150000000000006</v>
      </c>
      <c r="F9" s="831"/>
      <c r="G9" s="656"/>
      <c r="H9" s="676"/>
      <c r="I9" s="819"/>
      <c r="J9" s="767"/>
      <c r="K9" s="677" t="s">
        <v>821</v>
      </c>
      <c r="L9" s="677"/>
      <c r="M9" s="678"/>
      <c r="N9" s="678"/>
      <c r="O9" s="655"/>
    </row>
    <row r="10" spans="1:15" ht="14.45" customHeight="1" x14ac:dyDescent="0.25">
      <c r="A10" s="824"/>
      <c r="B10" s="832">
        <v>10</v>
      </c>
      <c r="C10" s="833">
        <f>VLOOKUP(21212,'Total Price List'!$B$8:$J$1194,8,0)</f>
        <v>20</v>
      </c>
      <c r="D10" s="833">
        <f>VLOOKUP(21222,'Total Price List'!$B$8:$J$1194,8,0)</f>
        <v>36.660000000000004</v>
      </c>
      <c r="E10" s="833">
        <f>VLOOKUP(21232,'Total Price List'!$B$8:$J$1194,8,0)</f>
        <v>49.155000000000001</v>
      </c>
      <c r="F10" s="831"/>
      <c r="G10" s="656"/>
      <c r="H10" s="671">
        <v>2</v>
      </c>
      <c r="I10" s="818">
        <f>$D$2</f>
        <v>0</v>
      </c>
      <c r="J10" s="672">
        <f>IF($D$2&gt;999,21228,IF($D$2&gt;499,21227,IF($D$2&gt;249,21226,IF($D$2&gt;99,21225,IF($D$2&gt;49,21224,IF($D$2&gt;24,21223,IF($D$2&gt;9,21222,IF($D$2&gt;4,21221,0))))))))</f>
        <v>0</v>
      </c>
      <c r="K10" s="674" t="s">
        <v>507</v>
      </c>
      <c r="L10" s="673">
        <f>IF($D$2&gt;999,D16,IF($D$2&gt;499,D15,IF($D$2&gt;249,D14,IF($D$2&gt;99,D13,IF($D$2&gt;49,D12,IF($D$2&gt;24,D11,IF($D$2&gt;9,D10,IF($D$2&gt;4,D9,0))))))))</f>
        <v>0</v>
      </c>
      <c r="M10" s="675">
        <f>IF($D$2&gt;999,$D$2*D16,IF($D$2&gt;499,$D$2*D15,IF($D$2&gt;249,$D$2*D14,IF($D$2&gt;99,$D$2*D13,IF($D$2&gt;49,$D$2*D12,IF($D$2&gt;24,$D$2*D11,IF($D$2&gt;9,$D$2*D10,IF($D$2&gt;4,$D$2*D9,0))))))))</f>
        <v>0</v>
      </c>
      <c r="N10" s="675">
        <f>IF('[1]Total Price List'!$C$4&gt;0,(M10-(M10*'[1]Total Price List'!$C$4)),M10)</f>
        <v>0</v>
      </c>
      <c r="O10" s="655"/>
    </row>
    <row r="11" spans="1:15" ht="14.45" customHeight="1" x14ac:dyDescent="0.25">
      <c r="A11" s="829"/>
      <c r="B11" s="832">
        <v>25</v>
      </c>
      <c r="C11" s="833">
        <f>VLOOKUP(21213,'Total Price List'!$B$8:$J$1194,8,0)</f>
        <v>15.200000000000001</v>
      </c>
      <c r="D11" s="833">
        <f>VLOOKUP(21223,'Total Price List'!$B$8:$J$1194,8,0)</f>
        <v>29.208000000000006</v>
      </c>
      <c r="E11" s="833">
        <f>VLOOKUP(21233,'Total Price List'!$B$8:$J$1194,8,0)</f>
        <v>39.713999999999999</v>
      </c>
      <c r="F11" s="831"/>
      <c r="G11" s="656"/>
      <c r="H11" s="676"/>
      <c r="I11" s="819"/>
      <c r="J11" s="767"/>
      <c r="K11" s="677" t="s">
        <v>822</v>
      </c>
      <c r="L11" s="677"/>
      <c r="M11" s="678"/>
      <c r="N11" s="678"/>
      <c r="O11" s="655"/>
    </row>
    <row r="12" spans="1:15" ht="14.45" customHeight="1" x14ac:dyDescent="0.25">
      <c r="A12" s="824"/>
      <c r="B12" s="832">
        <v>50</v>
      </c>
      <c r="C12" s="833">
        <f>VLOOKUP(21214,'Total Price List'!$B$8:$J$1194,8,0)</f>
        <v>13.600000000000001</v>
      </c>
      <c r="D12" s="833">
        <f>VLOOKUP(21224,'Total Price List'!$B$8:$J$1194,8,0)</f>
        <v>26.724000000000004</v>
      </c>
      <c r="E12" s="833">
        <f>VLOOKUP(21234,'Total Price List'!$B$8:$J$1194,8,0)</f>
        <v>36.567</v>
      </c>
      <c r="F12" s="835"/>
      <c r="G12" s="679"/>
      <c r="H12" s="671">
        <v>3</v>
      </c>
      <c r="I12" s="818">
        <f>$D$2</f>
        <v>0</v>
      </c>
      <c r="J12" s="672">
        <f>IF($D$2&gt;999,21238,IF($D$2&gt;499,21237,IF($D$2&gt;249,21236,IF($D$2&gt;99,21235,IF($D$2&gt;49,21234,IF($D$2&gt;24,21233,IF($D$2&gt;9,21232,IF($D$2&gt;4,21231,0))))))))</f>
        <v>0</v>
      </c>
      <c r="K12" s="674" t="s">
        <v>507</v>
      </c>
      <c r="L12" s="673">
        <f>IF($D$2&gt;999,E16,IF($D$2&gt;499,E15,IF($D$2&gt;249,E14,IF($D$2&gt;99,E13,IF($D$2&gt;49,E12,IF($D$2&gt;24,E11,IF($D$2&gt;9,E10,IF($D$2&gt;4,E9,0))))))))</f>
        <v>0</v>
      </c>
      <c r="M12" s="675">
        <f>IF($D$2&gt;999,$D$2*E16,IF($D$2&gt;499,$D$2*E15,IF($D$2&gt;249,$D$2*E14,IF($D$2&gt;99,$D$2*E13,IF($D$2&gt;49,$D$2*E12,IF($D$2&gt;24,$D$2*E11,IF($D$2&gt;9,$D$2*E10,IF($D$2&gt;4,$D$2*E9,0))))))))</f>
        <v>0</v>
      </c>
      <c r="N12" s="675">
        <f>IF('[1]Total Price List'!$C$4&gt;0,(M12-(M12*'[1]Total Price List'!$C$4)),M12)</f>
        <v>0</v>
      </c>
      <c r="O12" s="655"/>
    </row>
    <row r="13" spans="1:15" ht="14.45" customHeight="1" x14ac:dyDescent="0.25">
      <c r="A13" s="824"/>
      <c r="B13" s="832">
        <v>100</v>
      </c>
      <c r="C13" s="833">
        <f>VLOOKUP(21215,'Total Price List'!$B$8:$J$1194,8,0)</f>
        <v>11.200000000000001</v>
      </c>
      <c r="D13" s="833">
        <f>VLOOKUP(21225,'Total Price List'!$B$8:$J$1194,8,0)</f>
        <v>21.842000000000002</v>
      </c>
      <c r="E13" s="833">
        <f>VLOOKUP(21235,'Total Price List'!$B$8:$J$1194,8,0)</f>
        <v>29.823500000000003</v>
      </c>
      <c r="F13" s="835"/>
      <c r="G13" s="656"/>
      <c r="H13" s="680"/>
      <c r="I13" s="820"/>
      <c r="J13" s="769"/>
      <c r="K13" s="681" t="s">
        <v>823</v>
      </c>
      <c r="L13" s="681"/>
      <c r="M13" s="682"/>
      <c r="N13" s="682"/>
      <c r="O13" s="655"/>
    </row>
    <row r="14" spans="1:15" ht="14.45" customHeight="1" x14ac:dyDescent="0.25">
      <c r="A14" s="824"/>
      <c r="B14" s="832">
        <v>250</v>
      </c>
      <c r="C14" s="833">
        <f>VLOOKUP(21216,'Total Price List'!$B$8:$J$1194,8,0)</f>
        <v>9.6000000000000014</v>
      </c>
      <c r="D14" s="833">
        <f>VLOOKUP(21226,'Total Price List'!$B$8:$J$1194,8,0)</f>
        <v>17.936800000000002</v>
      </c>
      <c r="E14" s="833">
        <f>VLOOKUP(21236,'Total Price List'!$B$8:$J$1194,8,0)</f>
        <v>24.189399999999999</v>
      </c>
      <c r="F14" s="835"/>
      <c r="G14" s="679"/>
      <c r="H14" s="677"/>
      <c r="I14" s="677"/>
      <c r="J14" s="767"/>
      <c r="K14" s="677"/>
      <c r="L14" s="677"/>
      <c r="M14" s="677"/>
      <c r="N14" s="677"/>
      <c r="O14" s="655"/>
    </row>
    <row r="15" spans="1:15" ht="14.45" customHeight="1" x14ac:dyDescent="0.25">
      <c r="A15" s="824"/>
      <c r="B15" s="832">
        <v>500</v>
      </c>
      <c r="C15" s="833">
        <f>VLOOKUP(21217,'Total Price List'!$B$8:$J$1194,8,0)</f>
        <v>8</v>
      </c>
      <c r="D15" s="833">
        <f>VLOOKUP(21227,'Total Price List'!$B$8:$J$1194,8,0)</f>
        <v>15.228400000000001</v>
      </c>
      <c r="E15" s="833">
        <f>VLOOKUP(21237,'Total Price List'!$B$8:$J$1194,8,0)</f>
        <v>20.649700000000003</v>
      </c>
      <c r="F15" s="835"/>
      <c r="G15" s="656"/>
      <c r="H15" s="928"/>
      <c r="I15" s="928"/>
      <c r="J15" s="683"/>
      <c r="K15" s="684"/>
      <c r="L15" s="683"/>
      <c r="M15" s="684"/>
      <c r="N15" s="684"/>
      <c r="O15" s="655"/>
    </row>
    <row r="16" spans="1:15" ht="14.45" customHeight="1" x14ac:dyDescent="0.25">
      <c r="A16" s="824"/>
      <c r="B16" s="832">
        <v>1000</v>
      </c>
      <c r="C16" s="833">
        <f>VLOOKUP(21218,'Total Price List'!$B$8:$J$1194,8,0)</f>
        <v>7.2</v>
      </c>
      <c r="D16" s="833">
        <f>VLOOKUP(21228,'Total Price List'!$B$8:$J$1194,8,0)</f>
        <v>13.388</v>
      </c>
      <c r="E16" s="833">
        <f>VLOOKUP(21238,'Total Price List'!$B$8:$J$1194,8,0)</f>
        <v>18.692</v>
      </c>
      <c r="F16" s="835"/>
      <c r="G16" s="685"/>
      <c r="H16" s="684"/>
      <c r="I16" s="684"/>
      <c r="J16" s="683"/>
      <c r="K16" s="686"/>
      <c r="L16" s="683"/>
      <c r="M16" s="684"/>
      <c r="N16" s="684"/>
      <c r="O16" s="655"/>
    </row>
    <row r="17" spans="1:15" ht="14.45" customHeight="1" x14ac:dyDescent="0.25">
      <c r="A17" s="829"/>
      <c r="B17" s="836"/>
      <c r="C17" s="837"/>
      <c r="D17" s="838"/>
      <c r="E17" s="839"/>
      <c r="F17" s="840"/>
      <c r="G17" s="685"/>
      <c r="H17" s="687"/>
      <c r="I17" s="688"/>
      <c r="J17" s="689"/>
      <c r="K17" s="691"/>
      <c r="L17" s="692"/>
      <c r="M17" s="690"/>
      <c r="N17" s="690"/>
      <c r="O17" s="652"/>
    </row>
    <row r="18" spans="1:15" ht="14.45" customHeight="1" x14ac:dyDescent="0.25">
      <c r="A18" s="824"/>
      <c r="B18" s="841">
        <f>$D$2</f>
        <v>0</v>
      </c>
      <c r="C18" s="842">
        <f>IF($D$2&gt;999,$D$2*C16,IF($D$2&gt;499,$D$2*C15,IF($D$2&gt;249,$D$2*C14,IF($D$2&gt;99,$D$2*C13,IF($D$2&gt;49,$D$2*C12,IF($D$2&gt;24,$D$2*C11,IF($D$2&gt;9,$D$2*C10,IF($D$2&gt;4,$D$2*C9,0))))))))</f>
        <v>0</v>
      </c>
      <c r="D18" s="842">
        <f>IF($D$2&gt;999,$D$2*D16,IF($D$2&gt;499,$D$2*D15,IF($D$2&gt;249,$D$2*D14,IF($D$2&gt;99,$D$2*D13,IF($D$2&gt;49,$D$2*D12,IF($D$2&gt;24,$D$2*D11,IF($D$2&gt;9,$D$2*D10,IF($D$2&gt;4,$D$2*D9,0))))))))</f>
        <v>0</v>
      </c>
      <c r="E18" s="842">
        <f>IF($D$2&gt;999,$D$2*E16,IF($D$2&gt;499,$D$2*E15,IF($D$2&gt;249,$D$2*E14,IF($D$2&gt;99,$D$2*E13,IF($D$2&gt;49,$D$2*E12,IF($D$2&gt;24,$D$2*E11,IF($D$2&gt;9,$D$2*E10,IF($D$2&gt;4,$D$2*E9,0))))))))</f>
        <v>0</v>
      </c>
      <c r="F18" s="843"/>
      <c r="G18" s="685"/>
      <c r="H18" s="659"/>
      <c r="I18" s="659"/>
      <c r="J18" s="770"/>
      <c r="K18" s="659"/>
      <c r="L18" s="659"/>
      <c r="M18" s="659"/>
      <c r="N18" s="659"/>
      <c r="O18" s="652"/>
    </row>
    <row r="19" spans="1:15" ht="14.45" customHeight="1" x14ac:dyDescent="0.25">
      <c r="A19" s="829"/>
      <c r="B19" s="844" t="s">
        <v>811</v>
      </c>
      <c r="C19" s="845">
        <f>IF(C18&gt;0,C18/$D$2,0)</f>
        <v>0</v>
      </c>
      <c r="D19" s="845">
        <f t="shared" ref="D19:E19" si="0">IF(D18&gt;0,D18/$D$2,0)</f>
        <v>0</v>
      </c>
      <c r="E19" s="845">
        <f t="shared" si="0"/>
        <v>0</v>
      </c>
      <c r="F19" s="831"/>
      <c r="G19" s="685"/>
      <c r="H19" s="687"/>
      <c r="I19" s="688"/>
      <c r="J19" s="689"/>
      <c r="K19" s="691"/>
      <c r="L19" s="692"/>
      <c r="M19" s="690"/>
      <c r="N19" s="690"/>
      <c r="O19" s="652"/>
    </row>
    <row r="20" spans="1:15" ht="14.45" customHeight="1" x14ac:dyDescent="0.25">
      <c r="A20" s="846"/>
      <c r="B20" s="847"/>
      <c r="C20" s="848"/>
      <c r="D20" s="848"/>
      <c r="E20" s="848"/>
      <c r="F20" s="849"/>
      <c r="G20" s="665"/>
      <c r="H20" s="659"/>
      <c r="I20" s="659"/>
      <c r="J20" s="770"/>
      <c r="K20" s="659"/>
      <c r="L20" s="659"/>
      <c r="M20" s="659"/>
      <c r="N20" s="659"/>
      <c r="O20" s="652"/>
    </row>
    <row r="21" spans="1:15" ht="14.45" customHeight="1" x14ac:dyDescent="0.25">
      <c r="A21" s="655"/>
      <c r="B21" s="655"/>
      <c r="C21" s="655"/>
      <c r="D21" s="655"/>
      <c r="E21" s="655"/>
      <c r="F21" s="655"/>
      <c r="G21" s="656"/>
      <c r="H21" s="677"/>
      <c r="I21" s="677"/>
      <c r="J21" s="767"/>
      <c r="K21" s="677"/>
      <c r="L21" s="677"/>
      <c r="M21" s="677"/>
      <c r="N21" s="677"/>
      <c r="O21" s="652"/>
    </row>
    <row r="22" spans="1:15" ht="14.45" customHeight="1" x14ac:dyDescent="0.25">
      <c r="A22" s="895" t="s">
        <v>970</v>
      </c>
      <c r="B22" s="938"/>
      <c r="C22" s="938"/>
      <c r="D22" s="938"/>
      <c r="E22" s="938"/>
      <c r="F22" s="939"/>
      <c r="G22" s="655"/>
      <c r="H22" s="884" t="s">
        <v>812</v>
      </c>
      <c r="I22" s="885"/>
      <c r="J22" s="661" t="s">
        <v>815</v>
      </c>
      <c r="K22" s="662" t="s">
        <v>824</v>
      </c>
      <c r="L22" s="661" t="s">
        <v>826</v>
      </c>
      <c r="M22" s="663" t="s">
        <v>818</v>
      </c>
      <c r="N22" s="663" t="s">
        <v>820</v>
      </c>
      <c r="O22" s="652"/>
    </row>
    <row r="23" spans="1:15" ht="12.6" customHeight="1" x14ac:dyDescent="0.25">
      <c r="A23" s="693"/>
      <c r="B23" s="694"/>
      <c r="C23" s="695" t="s">
        <v>806</v>
      </c>
      <c r="D23" s="696"/>
      <c r="E23" s="696"/>
      <c r="F23" s="697"/>
      <c r="G23" s="655"/>
      <c r="H23" s="666" t="s">
        <v>814</v>
      </c>
      <c r="I23" s="667" t="s">
        <v>813</v>
      </c>
      <c r="J23" s="668" t="s">
        <v>816</v>
      </c>
      <c r="K23" s="669" t="s">
        <v>18</v>
      </c>
      <c r="L23" s="668" t="s">
        <v>817</v>
      </c>
      <c r="M23" s="670" t="s">
        <v>819</v>
      </c>
      <c r="N23" s="670" t="s">
        <v>819</v>
      </c>
      <c r="O23" s="652"/>
    </row>
    <row r="24" spans="1:15" ht="14.45" customHeight="1" x14ac:dyDescent="0.25">
      <c r="A24" s="698"/>
      <c r="B24" s="699" t="s">
        <v>805</v>
      </c>
      <c r="C24" s="699" t="s">
        <v>807</v>
      </c>
      <c r="D24" s="699" t="s">
        <v>808</v>
      </c>
      <c r="E24" s="699" t="s">
        <v>809</v>
      </c>
      <c r="F24" s="700"/>
      <c r="G24" s="655"/>
      <c r="H24" s="671">
        <v>1</v>
      </c>
      <c r="I24" s="818">
        <f>$D$2</f>
        <v>0</v>
      </c>
      <c r="J24" s="672">
        <f>IF($D$2&gt;999,21318,IF($D$2&gt;499,21317,IF($D$2&gt;249,21316,IF($D$2&gt;99,21315,IF($D$2&gt;49,21314,IF($D$2&gt;24,21313,IF($D$2&gt;9,21312,IF($D$2&gt;4,21311,0))))))))</f>
        <v>0</v>
      </c>
      <c r="K24" s="674" t="s">
        <v>970</v>
      </c>
      <c r="L24" s="673">
        <f>IF($D$2&gt;999,C32,IF($D$2&gt;499,C31,IF($D$2&gt;249,C30,IF($D$2&gt;99,C29,IF($D$2&gt;49,C28,IF($D$2&gt;24,C27,IF($D$2&gt;9,C26,IF($D$2&gt;4,C25,0))))))))</f>
        <v>0</v>
      </c>
      <c r="M24" s="675">
        <f>IF($D$2&gt;999,$D$2*C32,IF($D$2&gt;499,$D$2*C31,IF($D$2&gt;249,$D$2*C30,IF($D$2&gt;99,$D$2*C29,IF($D$2&gt;49,$D$2*C28,IF($D$2&gt;24,$D$2*C27,IF($D$2&gt;9,$D$2*C26,IF($D$2&gt;4,$D$2*C25,0))))))))</f>
        <v>0</v>
      </c>
      <c r="N24" s="675">
        <f>IF('[1]Total Price List'!$C$4&gt;0,(M24-(M24*'[1]Total Price List'!$C$4)),M24)</f>
        <v>0</v>
      </c>
      <c r="O24" s="652"/>
    </row>
    <row r="25" spans="1:15" ht="14.45" customHeight="1" x14ac:dyDescent="0.25">
      <c r="A25" s="693"/>
      <c r="B25" s="701">
        <v>5</v>
      </c>
      <c r="C25" s="702">
        <f>VLOOKUP(21311,'Total Price List'!$B$8:$J$1194,8,0)</f>
        <v>36.480000000000004</v>
      </c>
      <c r="D25" s="702">
        <f>VLOOKUP(21321,'Total Price List'!$B$8:$J$1194,8,0)</f>
        <v>56.879999999999995</v>
      </c>
      <c r="E25" s="702">
        <f>VLOOKUP(21331,'Total Price List'!$B$8:$J$1194,8,0)</f>
        <v>72.179999999999993</v>
      </c>
      <c r="F25" s="700"/>
      <c r="G25" s="655"/>
      <c r="H25" s="676"/>
      <c r="I25" s="819"/>
      <c r="J25" s="767"/>
      <c r="K25" s="677" t="s">
        <v>821</v>
      </c>
      <c r="L25" s="677"/>
      <c r="M25" s="678"/>
      <c r="N25" s="678"/>
      <c r="O25" s="652"/>
    </row>
    <row r="26" spans="1:15" ht="14.45" customHeight="1" x14ac:dyDescent="0.25">
      <c r="A26" s="693"/>
      <c r="B26" s="701">
        <v>10</v>
      </c>
      <c r="C26" s="702">
        <f>VLOOKUP(21312,'Total Price List'!$B$8:$J$1194,8,0)</f>
        <v>24</v>
      </c>
      <c r="D26" s="702">
        <f>VLOOKUP(21322,'Total Price List'!$B$8:$J$1194,8,0)</f>
        <v>43.992000000000004</v>
      </c>
      <c r="E26" s="702">
        <f>VLOOKUP(21332,'Total Price List'!$B$8:$J$1194,8,0)</f>
        <v>58.986000000000004</v>
      </c>
      <c r="F26" s="700"/>
      <c r="G26" s="655"/>
      <c r="H26" s="671">
        <v>2</v>
      </c>
      <c r="I26" s="818">
        <f>$D$2</f>
        <v>0</v>
      </c>
      <c r="J26" s="672">
        <f>IF($D$2&gt;999,21328,IF($D$2&gt;499,21327,IF($D$2&gt;249,21326,IF($D$2&gt;99,21325,IF($D$2&gt;49,21324,IF($D$2&gt;24,21323,IF($D$2&gt;9,21322,IF($D$2&gt;4,21321,0))))))))</f>
        <v>0</v>
      </c>
      <c r="K26" s="674" t="s">
        <v>970</v>
      </c>
      <c r="L26" s="673">
        <f>IF($D$2&gt;999,D32,IF($D$2&gt;499,D31,IF($D$2&gt;249,D30,IF($D$2&gt;99,D29,IF($D$2&gt;49,D28,IF($D$2&gt;24,D27,IF($D$2&gt;9,D26,IF($D$2&gt;4,D25,0))))))))</f>
        <v>0</v>
      </c>
      <c r="M26" s="675">
        <f>IF($D$2&gt;999,$D$2*D32,IF($D$2&gt;499,$D$2*D31,IF($D$2&gt;249,$D$2*D30,IF($D$2&gt;99,$D$2*D29,IF($D$2&gt;49,$D$2*D28,IF($D$2&gt;24,$D$2*D27,IF($D$2&gt;9,$D$2*D26,IF($D$2&gt;4,$D$2*D25,0))))))))</f>
        <v>0</v>
      </c>
      <c r="N26" s="675">
        <f>IF('[1]Total Price List'!$C$4&gt;0,(M26-(M26*'[1]Total Price List'!$C$4)),M26)</f>
        <v>0</v>
      </c>
      <c r="O26" s="652"/>
    </row>
    <row r="27" spans="1:15" ht="14.45" customHeight="1" x14ac:dyDescent="0.25">
      <c r="A27" s="698"/>
      <c r="B27" s="701">
        <v>25</v>
      </c>
      <c r="C27" s="702">
        <f>VLOOKUP(21313,'Total Price List'!$B$8:$J$1194,8,0)</f>
        <v>18.240000000000002</v>
      </c>
      <c r="D27" s="702">
        <f>VLOOKUP(21323,'Total Price List'!$B$8:$J$1194,8,0)</f>
        <v>35.049600000000005</v>
      </c>
      <c r="E27" s="702">
        <f>VLOOKUP(21333,'Total Price List'!$B$8:$J$1194,8,0)</f>
        <v>47.656800000000004</v>
      </c>
      <c r="F27" s="700"/>
      <c r="G27" s="655"/>
      <c r="H27" s="676"/>
      <c r="I27" s="819"/>
      <c r="J27" s="767"/>
      <c r="K27" s="677" t="s">
        <v>822</v>
      </c>
      <c r="L27" s="677"/>
      <c r="M27" s="678"/>
      <c r="N27" s="678"/>
      <c r="O27" s="652"/>
    </row>
    <row r="28" spans="1:15" ht="14.45" customHeight="1" x14ac:dyDescent="0.25">
      <c r="A28" s="693"/>
      <c r="B28" s="701">
        <v>50</v>
      </c>
      <c r="C28" s="702">
        <f>VLOOKUP(21314,'Total Price List'!$B$8:$J$1194,8,0)</f>
        <v>16.32</v>
      </c>
      <c r="D28" s="702">
        <f>VLOOKUP(21324,'Total Price List'!$B$8:$J$1194,8,0)</f>
        <v>32.068800000000003</v>
      </c>
      <c r="E28" s="702">
        <f>VLOOKUP(21334,'Total Price List'!$B$8:$J$1194,8,0)</f>
        <v>43.880399999999995</v>
      </c>
      <c r="F28" s="703"/>
      <c r="G28" s="655"/>
      <c r="H28" s="671">
        <v>3</v>
      </c>
      <c r="I28" s="818">
        <f>$D$2</f>
        <v>0</v>
      </c>
      <c r="J28" s="672">
        <f>IF($D$2&gt;999,21338,IF($D$2&gt;499,21337,IF($D$2&gt;249,21336,IF($D$2&gt;99,21335,IF($D$2&gt;49,21334,IF($D$2&gt;24,21333,IF($D$2&gt;9,21332,IF($D$2&gt;4,21331,0))))))))</f>
        <v>0</v>
      </c>
      <c r="K28" s="674" t="s">
        <v>970</v>
      </c>
      <c r="L28" s="673">
        <f>IF($D$2&gt;999,E32,IF($D$2&gt;499,E31,IF($D$2&gt;249,E30,IF($D$2&gt;99,E29,IF($D$2&gt;49,E28,IF($D$2&gt;24,E27,IF($D$2&gt;9,E26,IF($D$2&gt;4,E25,0))))))))</f>
        <v>0</v>
      </c>
      <c r="M28" s="675">
        <f>IF($D$2&gt;999,$D$2*E32,IF($D$2&gt;499,$D$2*E31,IF($D$2&gt;249,$D$2*E30,IF($D$2&gt;99,$D$2*E29,IF($D$2&gt;49,$D$2*E28,IF($D$2&gt;24,$D$2*E27,IF($D$2&gt;9,$D$2*E26,IF($D$2&gt;4,$D$2*E25,0))))))))</f>
        <v>0</v>
      </c>
      <c r="N28" s="675">
        <f>IF('[1]Total Price List'!$C$4&gt;0,(M28-(M28*'[1]Total Price List'!$C$4)),M28)</f>
        <v>0</v>
      </c>
      <c r="O28" s="652"/>
    </row>
    <row r="29" spans="1:15" ht="14.45" customHeight="1" x14ac:dyDescent="0.25">
      <c r="A29" s="693"/>
      <c r="B29" s="701">
        <v>100</v>
      </c>
      <c r="C29" s="702">
        <f>VLOOKUP(21315,'Total Price List'!$B$8:$J$1194,8,0)</f>
        <v>13.440000000000001</v>
      </c>
      <c r="D29" s="702">
        <f>VLOOKUP(21325,'Total Price List'!$B$8:$J$1194,8,0)</f>
        <v>26.2104</v>
      </c>
      <c r="E29" s="702">
        <f>VLOOKUP(21335,'Total Price List'!$B$8:$J$1194,8,0)</f>
        <v>35.788200000000003</v>
      </c>
      <c r="F29" s="703"/>
      <c r="G29" s="655"/>
      <c r="H29" s="680"/>
      <c r="I29" s="820"/>
      <c r="J29" s="769"/>
      <c r="K29" s="681" t="s">
        <v>823</v>
      </c>
      <c r="L29" s="681"/>
      <c r="M29" s="682"/>
      <c r="N29" s="682"/>
      <c r="O29" s="652"/>
    </row>
    <row r="30" spans="1:15" ht="14.45" customHeight="1" x14ac:dyDescent="0.25">
      <c r="A30" s="693"/>
      <c r="B30" s="701">
        <v>250</v>
      </c>
      <c r="C30" s="702">
        <f>VLOOKUP(21316,'Total Price List'!$B$8:$J$1194,8,0)</f>
        <v>11.52</v>
      </c>
      <c r="D30" s="702">
        <f>VLOOKUP(21326,'Total Price List'!$B$8:$J$1194,8,0)</f>
        <v>21.524159999999998</v>
      </c>
      <c r="E30" s="702">
        <f>VLOOKUP(21336,'Total Price List'!$B$8:$J$1194,8,0)</f>
        <v>29.027279999999998</v>
      </c>
      <c r="F30" s="703"/>
      <c r="G30" s="655"/>
      <c r="H30" s="677"/>
      <c r="I30" s="677"/>
      <c r="J30" s="767"/>
      <c r="K30" s="677"/>
      <c r="L30" s="677"/>
      <c r="M30" s="677"/>
      <c r="N30" s="677"/>
      <c r="O30" s="652"/>
    </row>
    <row r="31" spans="1:15" ht="14.45" customHeight="1" x14ac:dyDescent="0.25">
      <c r="A31" s="693"/>
      <c r="B31" s="701">
        <v>500</v>
      </c>
      <c r="C31" s="702">
        <f>VLOOKUP(21317,'Total Price List'!$B$8:$J$1194,8,0)</f>
        <v>9.6000000000000014</v>
      </c>
      <c r="D31" s="702">
        <f>VLOOKUP(21327,'Total Price List'!$B$8:$J$1194,8,0)</f>
        <v>18.274079999999998</v>
      </c>
      <c r="E31" s="702">
        <f>VLOOKUP(21337,'Total Price List'!$B$8:$J$1194,8,0)</f>
        <v>24.779640000000001</v>
      </c>
      <c r="F31" s="703"/>
      <c r="G31" s="655"/>
      <c r="H31" s="928"/>
      <c r="I31" s="928"/>
      <c r="J31" s="683"/>
      <c r="K31" s="684"/>
      <c r="L31" s="683"/>
      <c r="M31" s="684"/>
      <c r="N31" s="684"/>
      <c r="O31" s="652"/>
    </row>
    <row r="32" spans="1:15" ht="6.6" customHeight="1" x14ac:dyDescent="0.25">
      <c r="A32" s="693"/>
      <c r="B32" s="701">
        <v>1000</v>
      </c>
      <c r="C32" s="702">
        <f>VLOOKUP(21318,'Total Price List'!$B$8:$J$1194,8,0)</f>
        <v>8.6399999999999988</v>
      </c>
      <c r="D32" s="702">
        <f>VLOOKUP(21328,'Total Price List'!$B$8:$J$1194,8,0)</f>
        <v>16.0656</v>
      </c>
      <c r="E32" s="702">
        <f>VLOOKUP(21338,'Total Price List'!$B$8:$J$1194,8,0)</f>
        <v>22.430399999999999</v>
      </c>
      <c r="F32" s="703"/>
      <c r="G32" s="655"/>
      <c r="H32" s="817"/>
      <c r="I32" s="817"/>
      <c r="J32" s="683"/>
      <c r="K32" s="684"/>
      <c r="L32" s="683"/>
      <c r="M32" s="684"/>
      <c r="N32" s="684"/>
      <c r="O32" s="652"/>
    </row>
    <row r="33" spans="1:15" ht="14.45" customHeight="1" x14ac:dyDescent="0.25">
      <c r="A33" s="698"/>
      <c r="B33" s="704"/>
      <c r="C33" s="705"/>
      <c r="D33" s="706"/>
      <c r="E33" s="707"/>
      <c r="F33" s="708"/>
      <c r="G33" s="655"/>
      <c r="H33" s="817"/>
      <c r="I33" s="817"/>
      <c r="J33" s="683"/>
      <c r="K33" s="684"/>
      <c r="L33" s="683"/>
      <c r="M33" s="684"/>
      <c r="N33" s="684"/>
      <c r="O33" s="652"/>
    </row>
    <row r="34" spans="1:15" ht="14.45" customHeight="1" x14ac:dyDescent="0.25">
      <c r="A34" s="693"/>
      <c r="B34" s="709">
        <f>$D$2</f>
        <v>0</v>
      </c>
      <c r="C34" s="710">
        <f>IF($D$2&gt;999,$D$2*C32,IF($D$2&gt;499,$D$2*C31,IF($D$2&gt;249,$D$2*C30,IF($D$2&gt;99,$D$2*C29,IF($D$2&gt;49,$D$2*C28,IF($D$2&gt;24,$D$2*C27,IF($D$2&gt;9,$D$2*C26,IF($D$2&gt;4,$D$2*C25,0))))))))</f>
        <v>0</v>
      </c>
      <c r="D34" s="710">
        <f>IF($D$2&gt;999,$D$2*D32,IF($D$2&gt;499,$D$2*D31,IF($D$2&gt;249,$D$2*D30,IF($D$2&gt;99,$D$2*D29,IF($D$2&gt;49,$D$2*D28,IF($D$2&gt;24,$D$2*D27,IF($D$2&gt;9,$D$2*D26,IF($D$2&gt;4,$D$2*D25,0))))))))</f>
        <v>0</v>
      </c>
      <c r="E34" s="710">
        <f>IF($D$2&gt;999,$D$2*E32,IF($D$2&gt;499,$D$2*E31,IF($D$2&gt;249,$D$2*E30,IF($D$2&gt;99,$D$2*E29,IF($D$2&gt;49,$D$2*E28,IF($D$2&gt;24,$D$2*E27,IF($D$2&gt;9,$D$2*E26,IF($D$2&gt;4,$D$2*E25,0))))))))</f>
        <v>0</v>
      </c>
      <c r="F34" s="711"/>
      <c r="G34" s="655"/>
      <c r="H34" s="817"/>
      <c r="I34" s="817"/>
      <c r="J34" s="683"/>
      <c r="K34" s="684"/>
      <c r="L34" s="683"/>
      <c r="M34" s="684"/>
      <c r="N34" s="684"/>
      <c r="O34" s="652"/>
    </row>
    <row r="35" spans="1:15" ht="14.45" customHeight="1" x14ac:dyDescent="0.25">
      <c r="A35" s="698"/>
      <c r="B35" s="712" t="s">
        <v>811</v>
      </c>
      <c r="C35" s="713">
        <f>IF(C34&gt;0,C34/$D$2,0)</f>
        <v>0</v>
      </c>
      <c r="D35" s="713">
        <f t="shared" ref="D35:E35" si="1">IF(D34&gt;0,D34/$D$2,0)</f>
        <v>0</v>
      </c>
      <c r="E35" s="713">
        <f t="shared" si="1"/>
        <v>0</v>
      </c>
      <c r="F35" s="700"/>
      <c r="G35" s="655"/>
      <c r="H35" s="684"/>
      <c r="I35" s="684"/>
      <c r="J35" s="683"/>
      <c r="K35" s="686"/>
      <c r="L35" s="683"/>
      <c r="M35" s="684"/>
      <c r="N35" s="684"/>
      <c r="O35" s="652"/>
    </row>
    <row r="36" spans="1:15" ht="14.45" customHeight="1" x14ac:dyDescent="0.25">
      <c r="A36" s="714"/>
      <c r="B36" s="715"/>
      <c r="C36" s="716"/>
      <c r="D36" s="716"/>
      <c r="E36" s="716"/>
      <c r="F36" s="717"/>
      <c r="G36" s="655"/>
      <c r="H36" s="659"/>
      <c r="I36" s="659"/>
      <c r="J36" s="770"/>
      <c r="K36" s="659"/>
      <c r="L36" s="659"/>
      <c r="M36" s="659"/>
      <c r="N36" s="659"/>
      <c r="O36" s="652"/>
    </row>
    <row r="37" spans="1:15" ht="14.45" customHeight="1" x14ac:dyDescent="0.25">
      <c r="A37" s="655"/>
      <c r="B37" s="655"/>
      <c r="C37" s="655"/>
      <c r="D37" s="655"/>
      <c r="E37" s="655"/>
      <c r="F37" s="655"/>
      <c r="G37" s="655"/>
      <c r="H37" s="655"/>
      <c r="I37" s="655"/>
      <c r="J37" s="655"/>
      <c r="K37" s="664"/>
      <c r="L37" s="655"/>
      <c r="M37" s="655"/>
      <c r="N37" s="655"/>
      <c r="O37" s="652"/>
    </row>
    <row r="38" spans="1:15" ht="14.45" customHeight="1" x14ac:dyDescent="0.25">
      <c r="A38" s="881" t="s">
        <v>508</v>
      </c>
      <c r="B38" s="940"/>
      <c r="C38" s="940"/>
      <c r="D38" s="940"/>
      <c r="E38" s="940"/>
      <c r="F38" s="941"/>
      <c r="G38" s="655"/>
      <c r="H38" s="884" t="s">
        <v>812</v>
      </c>
      <c r="I38" s="885"/>
      <c r="J38" s="661" t="s">
        <v>815</v>
      </c>
      <c r="K38" s="662" t="s">
        <v>824</v>
      </c>
      <c r="L38" s="661" t="s">
        <v>826</v>
      </c>
      <c r="M38" s="663" t="s">
        <v>818</v>
      </c>
      <c r="N38" s="663" t="s">
        <v>820</v>
      </c>
      <c r="O38" s="652"/>
    </row>
    <row r="39" spans="1:15" ht="14.45" customHeight="1" x14ac:dyDescent="0.25">
      <c r="A39" s="718"/>
      <c r="B39" s="719"/>
      <c r="C39" s="720" t="s">
        <v>806</v>
      </c>
      <c r="D39" s="721"/>
      <c r="E39" s="721"/>
      <c r="F39" s="722"/>
      <c r="G39" s="655"/>
      <c r="H39" s="666" t="s">
        <v>814</v>
      </c>
      <c r="I39" s="667" t="s">
        <v>813</v>
      </c>
      <c r="J39" s="668" t="s">
        <v>816</v>
      </c>
      <c r="K39" s="669" t="s">
        <v>18</v>
      </c>
      <c r="L39" s="668" t="s">
        <v>817</v>
      </c>
      <c r="M39" s="670" t="s">
        <v>819</v>
      </c>
      <c r="N39" s="670" t="s">
        <v>819</v>
      </c>
      <c r="O39" s="652"/>
    </row>
    <row r="40" spans="1:15" ht="14.45" customHeight="1" x14ac:dyDescent="0.25">
      <c r="A40" s="723"/>
      <c r="B40" s="724" t="s">
        <v>805</v>
      </c>
      <c r="C40" s="724" t="s">
        <v>807</v>
      </c>
      <c r="D40" s="724" t="s">
        <v>808</v>
      </c>
      <c r="E40" s="724" t="s">
        <v>809</v>
      </c>
      <c r="F40" s="725"/>
      <c r="G40" s="655"/>
      <c r="H40" s="671">
        <v>1</v>
      </c>
      <c r="I40" s="818">
        <f>$D$2</f>
        <v>0</v>
      </c>
      <c r="J40" s="672">
        <f>IF($D$2&gt;999,21418,IF($D$2&gt;499,21417,IF($D$2&gt;249,21416,IF($D$2&gt;99,21415,IF($D$2&gt;49,21414,IF($D$2&gt;24,21413,IF($D$2&gt;9,21412,IF($D$2&gt;4,21411,0))))))))</f>
        <v>0</v>
      </c>
      <c r="K40" s="674" t="s">
        <v>508</v>
      </c>
      <c r="L40" s="673">
        <f>IF($D$2&gt;999,C48,IF($D$2&gt;499,C50,IF($D$2&gt;249,C51,IF($D$2&gt;99,C47,IF($D$2&gt;49,C44,IF($D$2&gt;24,C43,IF($D$2&gt;9,C42,IF($D$2&gt;4,C41,0))))))))</f>
        <v>0</v>
      </c>
      <c r="M40" s="675">
        <f>IF($D$2&gt;999,$D$2*C48,IF($D$2&gt;499,$D$2*C47,IF($D$2&gt;249,$D$2*C46,IF($D$2&gt;99,$D$2*C45,IF($D$2&gt;49,$D$2*C44,IF($D$2&gt;24,$D$2*C43,IF($D$2&gt;9,$D$2*C42,IF($D$2&gt;4,$D$2*C41,0))))))))</f>
        <v>0</v>
      </c>
      <c r="N40" s="675">
        <f>IF('[1]Total Price List'!$C$4&gt;0,(M40-(M40*'[1]Total Price List'!$C$4)),M40)</f>
        <v>0</v>
      </c>
      <c r="O40" s="652"/>
    </row>
    <row r="41" spans="1:15" x14ac:dyDescent="0.25">
      <c r="A41" s="718"/>
      <c r="B41" s="726">
        <v>5</v>
      </c>
      <c r="C41" s="727">
        <f>VLOOKUP(21411,'Total Price List'!$B$8:$J$1194,8,0)</f>
        <v>33.440000000000005</v>
      </c>
      <c r="D41" s="727">
        <f>VLOOKUP(21421,'Total Price List'!$B$8:$J$1194,8,0)</f>
        <v>52.140000000000015</v>
      </c>
      <c r="E41" s="727">
        <f>VLOOKUP(21431,'Total Price List'!$B$8:$J$1194,8,0)</f>
        <v>66.165000000000006</v>
      </c>
      <c r="F41" s="725"/>
      <c r="G41" s="655"/>
      <c r="H41" s="676"/>
      <c r="I41" s="819"/>
      <c r="J41" s="767"/>
      <c r="K41" s="677" t="s">
        <v>821</v>
      </c>
      <c r="L41" s="677"/>
      <c r="M41" s="678"/>
      <c r="N41" s="678"/>
      <c r="O41" s="652"/>
    </row>
    <row r="42" spans="1:15" ht="14.45" customHeight="1" x14ac:dyDescent="0.25">
      <c r="A42" s="718"/>
      <c r="B42" s="726">
        <v>10</v>
      </c>
      <c r="C42" s="727">
        <f>VLOOKUP(21412,'Total Price List'!$B$8:$J$1194,8,0)</f>
        <v>22.000000000000004</v>
      </c>
      <c r="D42" s="727">
        <f>VLOOKUP(21422,'Total Price List'!$B$8:$J$1194,8,0)</f>
        <v>40.326000000000008</v>
      </c>
      <c r="E42" s="727">
        <f>VLOOKUP(21432,'Total Price List'!$B$8:$J$1194,8,0)</f>
        <v>54.07050000000001</v>
      </c>
      <c r="F42" s="725"/>
      <c r="G42" s="655"/>
      <c r="H42" s="671">
        <v>2</v>
      </c>
      <c r="I42" s="818">
        <f>$D$2</f>
        <v>0</v>
      </c>
      <c r="J42" s="672">
        <f>IF($D$2&gt;999,21428,IF($D$2&gt;499,21427,IF($D$2&gt;249,21426,IF($D$2&gt;99,21425,IF($D$2&gt;49,21424,IF($D$2&gt;24,21423,IF($D$2&gt;9,21422,IF($D$2&gt;4,21421,0))))))))</f>
        <v>0</v>
      </c>
      <c r="K42" s="674" t="s">
        <v>508</v>
      </c>
      <c r="L42" s="673">
        <f>IF($D$2&gt;999,D48,IF($D$2&gt;499,D47,IF($D$2&gt;249,D46,IF($D$2&gt;99,D45,IF($D$2&gt;49,D44,IF($D$2&gt;24,D43,IF($D$2&gt;9,D42,IF($D$2&gt;4,D41,0))))))))</f>
        <v>0</v>
      </c>
      <c r="M42" s="675">
        <f>IF($D$2&gt;999,$D$2*D48,IF($D$2&gt;499,$D$2*D47,IF($D$2&gt;249,$D$2*D46,IF($D$2&gt;99,$D$2*D45,IF($D$2&gt;49,$D$2*D44,IF($D$2&gt;24,$D$2*D43,IF($D$2&gt;9,$D$2*D42,IF($D$2&gt;4,$D$2*D41,0))))))))</f>
        <v>0</v>
      </c>
      <c r="N42" s="675">
        <f>IF('[1]Total Price List'!$C$4&gt;0,(M42-(M42*'[1]Total Price List'!$C$4)),M42)</f>
        <v>0</v>
      </c>
      <c r="O42" s="652"/>
    </row>
    <row r="43" spans="1:15" ht="14.45" customHeight="1" x14ac:dyDescent="0.25">
      <c r="A43" s="723"/>
      <c r="B43" s="726">
        <v>25</v>
      </c>
      <c r="C43" s="727">
        <f>VLOOKUP(21413,'Total Price List'!$B$8:$J$1194,8,0)</f>
        <v>16.720000000000002</v>
      </c>
      <c r="D43" s="727">
        <f>VLOOKUP(21423,'Total Price List'!$B$8:$J$1194,8,0)</f>
        <v>32.128800000000005</v>
      </c>
      <c r="E43" s="727">
        <f>VLOOKUP(21433,'Total Price List'!$B$8:$J$1194,8,0)</f>
        <v>43.685400000000008</v>
      </c>
      <c r="F43" s="725"/>
      <c r="G43" s="655"/>
      <c r="H43" s="676"/>
      <c r="I43" s="819"/>
      <c r="J43" s="767"/>
      <c r="K43" s="677" t="s">
        <v>822</v>
      </c>
      <c r="L43" s="677"/>
      <c r="M43" s="678"/>
      <c r="N43" s="678"/>
      <c r="O43" s="652"/>
    </row>
    <row r="44" spans="1:15" ht="14.45" customHeight="1" x14ac:dyDescent="0.25">
      <c r="A44" s="718"/>
      <c r="B44" s="726">
        <v>50</v>
      </c>
      <c r="C44" s="727">
        <f>VLOOKUP(21414,'Total Price List'!$B$8:$J$1194,8,0)</f>
        <v>14.960000000000003</v>
      </c>
      <c r="D44" s="727">
        <f>VLOOKUP(21424,'Total Price List'!$B$8:$J$1194,8,0)</f>
        <v>29.396400000000007</v>
      </c>
      <c r="E44" s="727">
        <f>VLOOKUP(21434,'Total Price List'!$B$8:$J$1194,8,0)</f>
        <v>40.223700000000001</v>
      </c>
      <c r="F44" s="771"/>
      <c r="G44" s="655"/>
      <c r="H44" s="671">
        <v>3</v>
      </c>
      <c r="I44" s="818">
        <f>$D$2</f>
        <v>0</v>
      </c>
      <c r="J44" s="672">
        <f>IF($D$2&gt;999,21438,IF($D$2&gt;499,21437,IF($D$2&gt;249,21436,IF($D$2&gt;99,21435,IF($D$2&gt;49,21434,IF($D$2&gt;24,21433,IF($D$2&gt;9,21432,IF($D$2&gt;4,21431,0))))))))</f>
        <v>0</v>
      </c>
      <c r="K44" s="674" t="s">
        <v>508</v>
      </c>
      <c r="L44" s="673">
        <f>IF($D$2&gt;999,E48,IF($D$2&gt;499,E47,IF($D$2&gt;249,E46,IF($D$2&gt;99,E45,IF($D$2&gt;49,E44,IF($D$2&gt;24,E43,IF($D$2&gt;9,E42,IF($D$2&gt;4,E41,0))))))))</f>
        <v>0</v>
      </c>
      <c r="M44" s="675">
        <f>IF($D$2&gt;999,$D$2*E48,IF($D$2&gt;499,$D$2*E47,IF($D$2&gt;249,$D$2*E46,IF($D$2&gt;99,$D$2*E45,IF($D$2&gt;49,$D$2*E44,IF($D$2&gt;24,$D$2*E43,IF($D$2&gt;9,$D$2*E42,IF($D$2&gt;4,$D$2*E41,0))))))))</f>
        <v>0</v>
      </c>
      <c r="N44" s="675">
        <f>IF('[1]Total Price List'!$C$4&gt;0,(M44-(M44*'[1]Total Price List'!$C$4)),M44)</f>
        <v>0</v>
      </c>
      <c r="O44" s="652"/>
    </row>
    <row r="45" spans="1:15" ht="14.45" customHeight="1" x14ac:dyDescent="0.25">
      <c r="A45" s="718"/>
      <c r="B45" s="726">
        <v>100</v>
      </c>
      <c r="C45" s="727">
        <f>VLOOKUP(21415,'Total Price List'!$B$8:$J$1194,8,0)</f>
        <v>12.320000000000002</v>
      </c>
      <c r="D45" s="727">
        <f>VLOOKUP(21425,'Total Price List'!$B$8:$J$1194,8,0)</f>
        <v>24.026200000000003</v>
      </c>
      <c r="E45" s="727">
        <f>VLOOKUP(21435,'Total Price List'!$B$8:$J$1194,8,0)</f>
        <v>32.805850000000007</v>
      </c>
      <c r="F45" s="771"/>
      <c r="G45" s="655"/>
      <c r="H45" s="680"/>
      <c r="I45" s="820"/>
      <c r="J45" s="769"/>
      <c r="K45" s="681" t="s">
        <v>823</v>
      </c>
      <c r="L45" s="681"/>
      <c r="M45" s="682"/>
      <c r="N45" s="682"/>
      <c r="O45" s="652"/>
    </row>
    <row r="46" spans="1:15" ht="14.45" customHeight="1" x14ac:dyDescent="0.25">
      <c r="A46" s="718"/>
      <c r="B46" s="726">
        <v>250</v>
      </c>
      <c r="C46" s="727">
        <f>VLOOKUP(21416,'Total Price List'!$B$8:$J$1194,8,0)</f>
        <v>10.560000000000002</v>
      </c>
      <c r="D46" s="727">
        <f>VLOOKUP(21426,'Total Price List'!$B$8:$J$1194,8,0)</f>
        <v>19.73048</v>
      </c>
      <c r="E46" s="727">
        <f>VLOOKUP(21436,'Total Price List'!$B$8:$J$1194,8,0)</f>
        <v>26.608339999999998</v>
      </c>
      <c r="F46" s="771"/>
      <c r="G46" s="655"/>
      <c r="H46" s="677"/>
      <c r="I46" s="677"/>
      <c r="J46" s="767"/>
      <c r="K46" s="677"/>
      <c r="L46" s="677"/>
      <c r="M46" s="677"/>
      <c r="N46" s="677"/>
      <c r="O46" s="652"/>
    </row>
    <row r="47" spans="1:15" ht="14.45" customHeight="1" x14ac:dyDescent="0.25">
      <c r="A47" s="718"/>
      <c r="B47" s="726">
        <v>500</v>
      </c>
      <c r="C47" s="727">
        <f>VLOOKUP(21417,'Total Price List'!$B$8:$J$1194,8,0)</f>
        <v>8.8000000000000007</v>
      </c>
      <c r="D47" s="727">
        <f>VLOOKUP(21427,'Total Price List'!$B$8:$J$1194,8,0)</f>
        <v>16.751240000000003</v>
      </c>
      <c r="E47" s="727">
        <f>VLOOKUP(21437,'Total Price List'!$B$8:$J$1194,8,0)</f>
        <v>22.714670000000005</v>
      </c>
      <c r="F47" s="771"/>
      <c r="G47" s="655"/>
      <c r="H47" s="928"/>
      <c r="I47" s="928"/>
      <c r="J47" s="683"/>
      <c r="K47" s="684"/>
      <c r="L47" s="683"/>
      <c r="M47" s="684"/>
      <c r="N47" s="684"/>
      <c r="O47" s="652"/>
    </row>
    <row r="48" spans="1:15" ht="14.45" customHeight="1" x14ac:dyDescent="0.25">
      <c r="A48" s="723"/>
      <c r="B48" s="726">
        <v>1000</v>
      </c>
      <c r="C48" s="727">
        <f>VLOOKUP(21418,'Total Price List'!$B$8:$J$1194,8,0)</f>
        <v>7.9200000000000008</v>
      </c>
      <c r="D48" s="727">
        <f>VLOOKUP(21428,'Total Price List'!$B$8:$J$1194,8,0)</f>
        <v>14.726800000000001</v>
      </c>
      <c r="E48" s="727">
        <f>VLOOKUP(21438,'Total Price List'!$B$8:$J$1194,8,0)</f>
        <v>20.561199999999999</v>
      </c>
      <c r="F48" s="772"/>
      <c r="G48" s="655"/>
      <c r="H48" s="817"/>
      <c r="I48" s="817"/>
      <c r="J48" s="683"/>
      <c r="K48" s="684"/>
      <c r="L48" s="683"/>
      <c r="M48" s="684"/>
      <c r="N48" s="684"/>
      <c r="O48" s="652"/>
    </row>
    <row r="49" spans="1:15" x14ac:dyDescent="0.25">
      <c r="A49" s="723"/>
      <c r="B49" s="726"/>
      <c r="C49" s="728"/>
      <c r="D49" s="729"/>
      <c r="E49" s="730"/>
      <c r="F49" s="772"/>
      <c r="G49" s="655"/>
      <c r="H49" s="817"/>
      <c r="I49" s="817"/>
      <c r="J49" s="683"/>
      <c r="K49" s="684"/>
      <c r="L49" s="683"/>
      <c r="M49" s="684"/>
      <c r="N49" s="684"/>
      <c r="O49" s="652"/>
    </row>
    <row r="50" spans="1:15" ht="15.75" x14ac:dyDescent="0.25">
      <c r="A50" s="718"/>
      <c r="B50" s="731">
        <f>$D$2</f>
        <v>0</v>
      </c>
      <c r="C50" s="732">
        <f>IF($D$2&gt;999,$D$2*C48,IF($D$2&gt;499,$D$2*C47,IF($D$2&gt;249,$D$2*C46,IF($D$2&gt;99,$D$2*C45,IF($D$2&gt;49,$D$2*C44,IF($D$2&gt;24,$D$2*C43,IF($D$2&gt;9,$D$2*C42,IF($D$2&gt;4,$D$2*C41,0))))))))</f>
        <v>0</v>
      </c>
      <c r="D50" s="732">
        <f>IF($D$2&gt;999,$D$2*D48,IF($D$2&gt;499,$D$2*D47,IF($D$2&gt;249,$D$2*D46,IF($D$2&gt;99,$D$2*D45,IF($D$2&gt;49,$D$2*D44,IF($D$2&gt;24,$D$2*D43,IF($D$2&gt;9,$D$2*D42,IF($D$2&gt;4,$D$2*D41,0))))))))</f>
        <v>0</v>
      </c>
      <c r="E50" s="732">
        <f>IF($D$2&gt;999,$D$2*E48,IF($D$2&gt;499,$D$2*E47,IF($D$2&gt;249,$D$2*E46,IF($D$2&gt;99,$D$2*E45,IF($D$2&gt;49,$D$2*E44,IF($D$2&gt;24,$D$2*E43,IF($D$2&gt;9,$D$2*E42,IF($D$2&gt;4,$D$2*E41,0))))))))</f>
        <v>0</v>
      </c>
      <c r="F50" s="773"/>
      <c r="G50" s="655"/>
      <c r="H50" s="817"/>
      <c r="I50" s="817"/>
      <c r="J50" s="683"/>
      <c r="K50" s="684"/>
      <c r="L50" s="683"/>
      <c r="M50" s="684"/>
      <c r="N50" s="684"/>
      <c r="O50" s="652"/>
    </row>
    <row r="51" spans="1:15" ht="14.45" customHeight="1" x14ac:dyDescent="0.25">
      <c r="A51" s="723"/>
      <c r="B51" s="733" t="s">
        <v>811</v>
      </c>
      <c r="C51" s="774">
        <f>IF(C50&gt;0,C50/$D$2,0)</f>
        <v>0</v>
      </c>
      <c r="D51" s="774">
        <f t="shared" ref="D51:E51" si="2">IF(D50&gt;0,D50/$D$2,0)</f>
        <v>0</v>
      </c>
      <c r="E51" s="774">
        <f t="shared" si="2"/>
        <v>0</v>
      </c>
      <c r="F51" s="725"/>
      <c r="G51" s="655"/>
      <c r="H51" s="817"/>
      <c r="I51" s="817"/>
      <c r="J51" s="683"/>
      <c r="K51" s="684"/>
      <c r="L51" s="683"/>
      <c r="M51" s="684"/>
      <c r="N51" s="684"/>
      <c r="O51" s="652"/>
    </row>
    <row r="52" spans="1:15" ht="14.45" customHeight="1" x14ac:dyDescent="0.25">
      <c r="A52" s="821"/>
      <c r="B52" s="822"/>
      <c r="C52" s="823"/>
      <c r="D52" s="823"/>
      <c r="E52" s="823"/>
      <c r="F52" s="734"/>
      <c r="G52" s="655"/>
      <c r="H52" s="817"/>
      <c r="I52" s="817"/>
      <c r="J52" s="683"/>
      <c r="K52" s="684"/>
      <c r="L52" s="683"/>
      <c r="M52" s="684"/>
      <c r="N52" s="684"/>
      <c r="O52" s="652"/>
    </row>
    <row r="53" spans="1:15" ht="14.45" customHeight="1" x14ac:dyDescent="0.25">
      <c r="A53" s="655"/>
      <c r="B53" s="655"/>
      <c r="C53" s="655"/>
      <c r="D53" s="655"/>
      <c r="E53" s="655"/>
      <c r="F53" s="655"/>
      <c r="G53" s="655"/>
      <c r="H53" s="817"/>
      <c r="I53" s="817"/>
      <c r="J53" s="683"/>
      <c r="K53" s="684"/>
      <c r="L53" s="683"/>
      <c r="M53" s="684"/>
      <c r="N53" s="684"/>
      <c r="O53" s="652"/>
    </row>
    <row r="54" spans="1:15" ht="14.45" customHeight="1" x14ac:dyDescent="0.25">
      <c r="A54" s="899" t="s">
        <v>971</v>
      </c>
      <c r="B54" s="929"/>
      <c r="C54" s="929"/>
      <c r="D54" s="929"/>
      <c r="E54" s="929"/>
      <c r="F54" s="930"/>
      <c r="G54" s="655"/>
      <c r="H54" s="884" t="s">
        <v>812</v>
      </c>
      <c r="I54" s="885"/>
      <c r="J54" s="661" t="s">
        <v>815</v>
      </c>
      <c r="K54" s="662" t="s">
        <v>824</v>
      </c>
      <c r="L54" s="661" t="s">
        <v>826</v>
      </c>
      <c r="M54" s="663" t="s">
        <v>818</v>
      </c>
      <c r="N54" s="663" t="s">
        <v>820</v>
      </c>
      <c r="O54" s="652"/>
    </row>
    <row r="55" spans="1:15" ht="14.45" customHeight="1" x14ac:dyDescent="0.25">
      <c r="A55" s="735"/>
      <c r="B55" s="736"/>
      <c r="C55" s="737" t="s">
        <v>806</v>
      </c>
      <c r="D55" s="738"/>
      <c r="E55" s="738"/>
      <c r="F55" s="739"/>
      <c r="G55" s="655"/>
      <c r="H55" s="666" t="s">
        <v>814</v>
      </c>
      <c r="I55" s="667" t="s">
        <v>813</v>
      </c>
      <c r="J55" s="668" t="s">
        <v>816</v>
      </c>
      <c r="K55" s="669" t="s">
        <v>18</v>
      </c>
      <c r="L55" s="668" t="s">
        <v>817</v>
      </c>
      <c r="M55" s="670" t="s">
        <v>819</v>
      </c>
      <c r="N55" s="670" t="s">
        <v>819</v>
      </c>
      <c r="O55" s="652"/>
    </row>
    <row r="56" spans="1:15" ht="14.45" customHeight="1" x14ac:dyDescent="0.25">
      <c r="A56" s="740"/>
      <c r="B56" s="741" t="s">
        <v>805</v>
      </c>
      <c r="C56" s="741" t="s">
        <v>807</v>
      </c>
      <c r="D56" s="741" t="s">
        <v>808</v>
      </c>
      <c r="E56" s="741" t="s">
        <v>809</v>
      </c>
      <c r="F56" s="742"/>
      <c r="G56" s="655"/>
      <c r="H56" s="671">
        <v>1</v>
      </c>
      <c r="I56" s="818">
        <f>$D$2</f>
        <v>0</v>
      </c>
      <c r="J56" s="672">
        <f>IF($D$2&gt;999,21518,IF($D$2&gt;499,21517,IF($D$2&gt;249,21516,IF($D$2&gt;99,21515,IF($D$2&gt;49,21514,IF($D$2&gt;24,21513,IF($D$2&gt;9,21512,IF($D$2&gt;4,21511,0))))))))</f>
        <v>0</v>
      </c>
      <c r="K56" s="674" t="s">
        <v>971</v>
      </c>
      <c r="L56" s="673">
        <f>IF($D$2&gt;999,C64,IF($D$2&gt;499,C63,IF($D$2&gt;249,C62,IF($D$2&gt;99,C61,IF($D$2&gt;49,C60,IF($D$2&gt;24,C59,IF($D$2&gt;9,C58,IF($D$2&gt;4,C57,0))))))))</f>
        <v>0</v>
      </c>
      <c r="M56" s="675">
        <f>IF($D$2&gt;999,$D$2*C64,IF($D$2&gt;499,$D$2*C63,IF($D$2&gt;249,$D$2*C62,IF($D$2&gt;99,$D$2*C61,IF($D$2&gt;49,$D$2*C60,IF($D$2&gt;24,$D$2*C59,IF($D$2&gt;9,$D$2*C58,IF($D$2&gt;4,$D$2*C57,0))))))))</f>
        <v>0</v>
      </c>
      <c r="N56" s="675">
        <f>IF('[1]Total Price List'!$C$4&gt;0,(M56-(M56*'[1]Total Price List'!$C$4)),M56)</f>
        <v>0</v>
      </c>
      <c r="O56" s="652"/>
    </row>
    <row r="57" spans="1:15" ht="14.45" customHeight="1" x14ac:dyDescent="0.25">
      <c r="A57" s="735"/>
      <c r="B57" s="743">
        <v>5</v>
      </c>
      <c r="C57" s="744">
        <f>VLOOKUP(21511,'Total Price List'!$B$8:$J$1194,8,0)</f>
        <v>40.128000000000007</v>
      </c>
      <c r="D57" s="744">
        <f>VLOOKUP(21521,'Total Price List'!$B$8:$J$1194,8,0)</f>
        <v>62.568000000000012</v>
      </c>
      <c r="E57" s="744">
        <f>VLOOKUP(21531,'Total Price List'!$B$8:$J$1194,8,0)</f>
        <v>79.398000000000025</v>
      </c>
      <c r="F57" s="742"/>
      <c r="G57" s="655"/>
      <c r="H57" s="676"/>
      <c r="I57" s="819"/>
      <c r="J57" s="767"/>
      <c r="K57" s="677" t="s">
        <v>821</v>
      </c>
      <c r="L57" s="677"/>
      <c r="M57" s="678"/>
      <c r="N57" s="678"/>
      <c r="O57" s="652"/>
    </row>
    <row r="58" spans="1:15" ht="14.45" customHeight="1" x14ac:dyDescent="0.25">
      <c r="A58" s="735"/>
      <c r="B58" s="743">
        <v>10</v>
      </c>
      <c r="C58" s="744">
        <f>VLOOKUP(21512,'Total Price List'!$B$8:$J$1194,8,0)</f>
        <v>26.400000000000002</v>
      </c>
      <c r="D58" s="744">
        <f>VLOOKUP(21522,'Total Price List'!$B$8:$J$1194,8,0)</f>
        <v>48.391200000000005</v>
      </c>
      <c r="E58" s="744">
        <f>VLOOKUP(21532,'Total Price List'!$B$8:$J$1194,8,0)</f>
        <v>64.884600000000006</v>
      </c>
      <c r="F58" s="742"/>
      <c r="G58" s="655"/>
      <c r="H58" s="671">
        <v>2</v>
      </c>
      <c r="I58" s="818">
        <f>$D$2</f>
        <v>0</v>
      </c>
      <c r="J58" s="672">
        <f>IF($D$2&gt;999,21528,IF($D$2&gt;499,21527,IF($D$2&gt;249,21526,IF($D$2&gt;99,21525,IF($D$2&gt;49,21524,IF($D$2&gt;24,21523,IF($D$2&gt;9,21522,IF($D$2&gt;4,21521,0))))))))</f>
        <v>0</v>
      </c>
      <c r="K58" s="674" t="s">
        <v>971</v>
      </c>
      <c r="L58" s="673">
        <f>IF($D$2&gt;999,D64,IF($D$2&gt;499,D63,IF($D$2&gt;249,D62,IF($D$2&gt;99,D61,IF($D$2&gt;49,D60,IF($D$2&gt;24,D59,IF($D$2&gt;9,D58,IF($D$2&gt;4,D57,0))))))))</f>
        <v>0</v>
      </c>
      <c r="M58" s="675">
        <f>IF($D$2&gt;999,$D$2*D64,IF($D$2&gt;499,$D$2*D63,IF($D$2&gt;249,$D$2*D62,IF($D$2&gt;99,$D$2*D61,IF($D$2&gt;49,$D$2*D60,IF($D$2&gt;24,$D$2*D59,IF($D$2&gt;9,$D$2*D58,IF($D$2&gt;4,$D$2*D57,0))))))))</f>
        <v>0</v>
      </c>
      <c r="N58" s="675">
        <f>IF('[1]Total Price List'!$C$4&gt;0,(M58-(M58*'[1]Total Price List'!$C$4)),M58)</f>
        <v>0</v>
      </c>
      <c r="O58" s="652"/>
    </row>
    <row r="59" spans="1:15" x14ac:dyDescent="0.25">
      <c r="A59" s="740"/>
      <c r="B59" s="743">
        <v>25</v>
      </c>
      <c r="C59" s="744">
        <f>VLOOKUP(21513,'Total Price List'!$B$8:$J$1194,8,0)</f>
        <v>20.064000000000004</v>
      </c>
      <c r="D59" s="744">
        <f>VLOOKUP(21523,'Total Price List'!$B$8:$J$1194,8,0)</f>
        <v>38.554560000000009</v>
      </c>
      <c r="E59" s="744">
        <f>VLOOKUP(21533,'Total Price List'!$B$8:$J$1194,8,0)</f>
        <v>52.422480000000007</v>
      </c>
      <c r="F59" s="742"/>
      <c r="G59" s="655"/>
      <c r="H59" s="676"/>
      <c r="I59" s="819"/>
      <c r="J59" s="767"/>
      <c r="K59" s="677" t="s">
        <v>822</v>
      </c>
      <c r="L59" s="677"/>
      <c r="M59" s="678"/>
      <c r="N59" s="678"/>
      <c r="O59" s="652"/>
    </row>
    <row r="60" spans="1:15" ht="14.45" customHeight="1" x14ac:dyDescent="0.25">
      <c r="A60" s="735"/>
      <c r="B60" s="743">
        <v>50</v>
      </c>
      <c r="C60" s="744">
        <f>VLOOKUP(21514,'Total Price List'!$B$8:$J$1194,8,0)</f>
        <v>17.952000000000002</v>
      </c>
      <c r="D60" s="744">
        <f>VLOOKUP(21524,'Total Price List'!$B$8:$J$1194,8,0)</f>
        <v>35.275680000000008</v>
      </c>
      <c r="E60" s="744">
        <f>VLOOKUP(21534,'Total Price List'!$B$8:$J$1194,8,0)</f>
        <v>48.268439999999998</v>
      </c>
      <c r="F60" s="775"/>
      <c r="G60" s="655"/>
      <c r="H60" s="671">
        <v>3</v>
      </c>
      <c r="I60" s="818">
        <f>$D$2</f>
        <v>0</v>
      </c>
      <c r="J60" s="672">
        <f>IF($D$2&gt;999,21538,IF($D$2&gt;499,21537,IF($D$2&gt;249,21536,IF($D$2&gt;99,21535,IF($D$2&gt;49,21534,IF($D$2&gt;24,21533,IF($D$2&gt;9,21532,IF($D$2&gt;4,21531,0))))))))</f>
        <v>0</v>
      </c>
      <c r="K60" s="674" t="s">
        <v>971</v>
      </c>
      <c r="L60" s="673">
        <f>IF($D$2&gt;999,E64,IF($D$2&gt;499,E63,IF($D$2&gt;249,E62,IF($D$2&gt;99,E61,IF($D$2&gt;49,E60,IF($D$2&gt;24,E59,IF($D$2&gt;9,E58,IF($D$2&gt;4,E57,0))))))))</f>
        <v>0</v>
      </c>
      <c r="M60" s="675">
        <f>IF($D$2&gt;999,$D$2*E64,IF($D$2&gt;499,$D$2*E63,IF($D$2&gt;249,$D$2*E62,IF($D$2&gt;99,$D$2*E61,IF($D$2&gt;49,$D$2*E60,IF($D$2&gt;24,$D$2*E59,IF($D$2&gt;9,$D$2*E58,IF($D$2&gt;4,$D$2*E57,0))))))))</f>
        <v>0</v>
      </c>
      <c r="N60" s="675">
        <f>IF('[1]Total Price List'!$C$4&gt;0,(M60-(M60*'[1]Total Price List'!$C$4)),M60)</f>
        <v>0</v>
      </c>
      <c r="O60" s="652"/>
    </row>
    <row r="61" spans="1:15" ht="14.45" customHeight="1" x14ac:dyDescent="0.25">
      <c r="A61" s="735"/>
      <c r="B61" s="743">
        <v>100</v>
      </c>
      <c r="C61" s="744">
        <f>VLOOKUP(21515,'Total Price List'!$B$8:$J$1194,8,0)</f>
        <v>14.784000000000001</v>
      </c>
      <c r="D61" s="744">
        <f>VLOOKUP(21525,'Total Price List'!$B$8:$J$1194,8,0)</f>
        <v>28.831440000000004</v>
      </c>
      <c r="E61" s="744">
        <f>VLOOKUP(21535,'Total Price List'!$B$8:$J$1194,8,0)</f>
        <v>39.367020000000004</v>
      </c>
      <c r="F61" s="775"/>
      <c r="G61" s="655"/>
      <c r="H61" s="680"/>
      <c r="I61" s="820"/>
      <c r="J61" s="769"/>
      <c r="K61" s="681" t="s">
        <v>823</v>
      </c>
      <c r="L61" s="681"/>
      <c r="M61" s="682"/>
      <c r="N61" s="682"/>
      <c r="O61" s="652"/>
    </row>
    <row r="62" spans="1:15" ht="14.45" customHeight="1" x14ac:dyDescent="0.25">
      <c r="A62" s="735"/>
      <c r="B62" s="743">
        <v>250</v>
      </c>
      <c r="C62" s="744">
        <f>VLOOKUP(21516,'Total Price List'!$B$8:$J$1194,8,0)</f>
        <v>12.672000000000001</v>
      </c>
      <c r="D62" s="744">
        <f>VLOOKUP(21526,'Total Price List'!$B$8:$J$1194,8,0)</f>
        <v>23.676576000000001</v>
      </c>
      <c r="E62" s="744">
        <f>VLOOKUP(21536,'Total Price List'!$B$8:$J$1194,8,0)</f>
        <v>31.930008000000001</v>
      </c>
      <c r="F62" s="775"/>
      <c r="G62" s="655"/>
      <c r="H62" s="677"/>
      <c r="I62" s="677"/>
      <c r="J62" s="767"/>
      <c r="K62" s="677"/>
      <c r="L62" s="677"/>
      <c r="M62" s="677"/>
      <c r="N62" s="677"/>
      <c r="O62" s="652"/>
    </row>
    <row r="63" spans="1:15" ht="14.45" customHeight="1" x14ac:dyDescent="0.25">
      <c r="A63" s="735"/>
      <c r="B63" s="743">
        <v>500</v>
      </c>
      <c r="C63" s="744">
        <f>VLOOKUP(21517,'Total Price List'!$B$8:$J$1194,8,0)</f>
        <v>10.56</v>
      </c>
      <c r="D63" s="744">
        <f>VLOOKUP(21527,'Total Price List'!$B$8:$J$1194,8,0)</f>
        <v>20.101488000000003</v>
      </c>
      <c r="E63" s="744">
        <f>VLOOKUP(21537,'Total Price List'!$B$8:$J$1194,8,0)</f>
        <v>27.257604000000004</v>
      </c>
      <c r="F63" s="775"/>
      <c r="G63" s="655"/>
      <c r="H63" s="928"/>
      <c r="I63" s="928"/>
      <c r="J63" s="683"/>
      <c r="K63" s="684"/>
      <c r="L63" s="683"/>
      <c r="M63" s="684"/>
      <c r="N63" s="684"/>
      <c r="O63" s="652"/>
    </row>
    <row r="64" spans="1:15" ht="14.45" customHeight="1" x14ac:dyDescent="0.25">
      <c r="A64" s="735"/>
      <c r="B64" s="743">
        <v>1000</v>
      </c>
      <c r="C64" s="744">
        <f>VLOOKUP(21518,'Total Price List'!$B$8:$J$1194,8,0)</f>
        <v>9.5040000000000013</v>
      </c>
      <c r="D64" s="744">
        <f>VLOOKUP(21528,'Total Price List'!$B$8:$J$1194,8,0)</f>
        <v>17.672160000000002</v>
      </c>
      <c r="E64" s="744">
        <f>VLOOKUP(21538,'Total Price List'!$B$8:$J$1194,8,0)</f>
        <v>24.673439999999999</v>
      </c>
      <c r="F64" s="775"/>
      <c r="G64" s="655"/>
      <c r="H64" s="684"/>
      <c r="I64" s="684"/>
      <c r="J64" s="683"/>
      <c r="K64" s="686"/>
      <c r="L64" s="683"/>
      <c r="M64" s="684"/>
      <c r="N64" s="684"/>
      <c r="O64" s="652"/>
    </row>
    <row r="65" spans="1:15" ht="14.45" customHeight="1" x14ac:dyDescent="0.25">
      <c r="A65" s="740"/>
      <c r="B65" s="745"/>
      <c r="C65" s="746"/>
      <c r="D65" s="747"/>
      <c r="E65" s="748"/>
      <c r="F65" s="749"/>
      <c r="G65" s="655"/>
      <c r="H65" s="687"/>
      <c r="I65" s="688"/>
      <c r="J65" s="689"/>
      <c r="K65" s="691"/>
      <c r="L65" s="692"/>
      <c r="M65" s="690"/>
      <c r="N65" s="690"/>
      <c r="O65" s="652"/>
    </row>
    <row r="66" spans="1:15" ht="14.45" customHeight="1" x14ac:dyDescent="0.25">
      <c r="A66" s="735"/>
      <c r="B66" s="750">
        <f>$D$2</f>
        <v>0</v>
      </c>
      <c r="C66" s="751">
        <f>IF($D$2&gt;999,$D$2*C64,IF($D$2&gt;499,$D$2*C63,IF($D$2&gt;249,$D$2*C62,IF($D$2&gt;99,$D$2*C61,IF($D$2&gt;49,$D$2*C60,IF($D$2&gt;24,$D$2*C59,IF($D$2&gt;9,$D$2*C58,IF($D$2&gt;4,$D$2*C57,0))))))))</f>
        <v>0</v>
      </c>
      <c r="D66" s="751">
        <f>IF($D$2&gt;999,$D$2*D64,IF($D$2&gt;499,$D$2*D63,IF($D$2&gt;249,$D$2*D62,IF($D$2&gt;99,$D$2*D61,IF($D$2&gt;49,$D$2*D60,IF($D$2&gt;24,$D$2*D59,IF($D$2&gt;9,$D$2*D58,IF($D$2&gt;4,$D$2*D57,0))))))))</f>
        <v>0</v>
      </c>
      <c r="E66" s="751">
        <f>IF($D$2&gt;999,$D$2*E64,IF($D$2&gt;499,$D$2*E63,IF($D$2&gt;249,$D$2*E62,IF($D$2&gt;99,$D$2*E61,IF($D$2&gt;49,$D$2*E60,IF($D$2&gt;24,$D$2*E59,IF($D$2&gt;9,$D$2*E58,IF($D$2&gt;4,$D$2*E57,0))))))))</f>
        <v>0</v>
      </c>
      <c r="F66" s="752"/>
      <c r="G66" s="655"/>
      <c r="H66" s="659"/>
      <c r="I66" s="659"/>
      <c r="J66" s="770"/>
      <c r="K66" s="659"/>
      <c r="L66" s="659"/>
      <c r="M66" s="659"/>
      <c r="N66" s="659"/>
      <c r="O66" s="652"/>
    </row>
    <row r="67" spans="1:15" ht="14.45" customHeight="1" x14ac:dyDescent="0.25">
      <c r="A67" s="740"/>
      <c r="B67" s="753" t="s">
        <v>811</v>
      </c>
      <c r="C67" s="754">
        <f>IF(C66&gt;0,C66/$D$2,0)</f>
        <v>0</v>
      </c>
      <c r="D67" s="754">
        <f t="shared" ref="D67:E67" si="3">IF(D66&gt;0,D66/$D$2,0)</f>
        <v>0</v>
      </c>
      <c r="E67" s="754">
        <f t="shared" si="3"/>
        <v>0</v>
      </c>
      <c r="F67" s="742"/>
      <c r="G67" s="655"/>
      <c r="H67" s="687"/>
      <c r="I67" s="688"/>
      <c r="J67" s="689"/>
      <c r="K67" s="691"/>
      <c r="L67" s="692"/>
      <c r="M67" s="690"/>
      <c r="N67" s="690"/>
      <c r="O67" s="652"/>
    </row>
    <row r="68" spans="1:15" ht="6.6" customHeight="1" x14ac:dyDescent="0.25">
      <c r="A68" s="755"/>
      <c r="B68" s="756"/>
      <c r="C68" s="757"/>
      <c r="D68" s="757"/>
      <c r="E68" s="757"/>
      <c r="F68" s="758"/>
      <c r="G68" s="655"/>
      <c r="H68" s="659"/>
      <c r="I68" s="659"/>
      <c r="J68" s="770"/>
      <c r="K68" s="659"/>
      <c r="L68" s="659"/>
      <c r="M68" s="659"/>
      <c r="N68" s="659"/>
      <c r="O68" s="652"/>
    </row>
    <row r="69" spans="1:15" ht="14.45" customHeight="1" x14ac:dyDescent="0.25">
      <c r="A69" s="655"/>
      <c r="B69" s="655"/>
      <c r="C69" s="655"/>
      <c r="D69" s="655"/>
      <c r="E69" s="655"/>
      <c r="F69" s="655"/>
      <c r="G69" s="655"/>
      <c r="H69" s="687"/>
      <c r="I69" s="688"/>
      <c r="J69" s="689"/>
      <c r="K69" s="691"/>
      <c r="L69" s="692"/>
      <c r="M69" s="690"/>
      <c r="N69" s="690"/>
      <c r="O69" s="652"/>
    </row>
    <row r="70" spans="1:15" ht="14.45" customHeight="1" x14ac:dyDescent="0.25">
      <c r="A70" s="931" t="s">
        <v>509</v>
      </c>
      <c r="B70" s="932"/>
      <c r="C70" s="932"/>
      <c r="D70" s="932"/>
      <c r="E70" s="932"/>
      <c r="F70" s="933"/>
      <c r="G70" s="655"/>
      <c r="H70" s="884" t="s">
        <v>812</v>
      </c>
      <c r="I70" s="885"/>
      <c r="J70" s="661" t="s">
        <v>815</v>
      </c>
      <c r="K70" s="662" t="s">
        <v>824</v>
      </c>
      <c r="L70" s="661" t="s">
        <v>826</v>
      </c>
      <c r="M70" s="663" t="s">
        <v>818</v>
      </c>
      <c r="N70" s="663" t="s">
        <v>820</v>
      </c>
      <c r="O70" s="652"/>
    </row>
    <row r="71" spans="1:15" ht="14.45" customHeight="1" x14ac:dyDescent="0.25">
      <c r="A71" s="776"/>
      <c r="B71" s="777"/>
      <c r="C71" s="778" t="s">
        <v>806</v>
      </c>
      <c r="D71" s="779"/>
      <c r="E71" s="779"/>
      <c r="F71" s="780"/>
      <c r="G71" s="655"/>
      <c r="H71" s="666" t="s">
        <v>814</v>
      </c>
      <c r="I71" s="667" t="s">
        <v>813</v>
      </c>
      <c r="J71" s="668" t="s">
        <v>816</v>
      </c>
      <c r="K71" s="669" t="s">
        <v>18</v>
      </c>
      <c r="L71" s="668" t="s">
        <v>817</v>
      </c>
      <c r="M71" s="670" t="s">
        <v>819</v>
      </c>
      <c r="N71" s="670" t="s">
        <v>819</v>
      </c>
      <c r="O71" s="652"/>
    </row>
    <row r="72" spans="1:15" ht="14.45" customHeight="1" x14ac:dyDescent="0.25">
      <c r="A72" s="781"/>
      <c r="B72" s="782" t="s">
        <v>805</v>
      </c>
      <c r="C72" s="782" t="s">
        <v>807</v>
      </c>
      <c r="D72" s="782" t="s">
        <v>808</v>
      </c>
      <c r="E72" s="782" t="s">
        <v>809</v>
      </c>
      <c r="F72" s="783"/>
      <c r="G72" s="655"/>
      <c r="H72" s="671">
        <v>1</v>
      </c>
      <c r="I72" s="818">
        <f>$D$2</f>
        <v>0</v>
      </c>
      <c r="J72" s="672">
        <f>IF($D$2&gt;999,21918,IF($D$2&gt;499,21917,IF($D$2&gt;249,21916,IF($D$2&gt;99,21915,IF($D$2&gt;49,21914,IF($D$2&gt;24,21913,IF($D$2&gt;9,21912,IF($D$2&gt;4,21911,0))))))))</f>
        <v>0</v>
      </c>
      <c r="K72" s="674" t="s">
        <v>509</v>
      </c>
      <c r="L72" s="673">
        <f>IF($D$2&gt;999,C80,IF($D$2&gt;499,C79,IF($D$2&gt;249,C78,IF($D$2&gt;99,C77,IF($D$2&gt;49,C76,IF($D$2&gt;24,C75,IF($D$2&gt;9,C74,IF($D$2&gt;4,C73,0))))))))</f>
        <v>0</v>
      </c>
      <c r="M72" s="675">
        <f>IF($D$2&gt;999,$D$2*C80,IF($D$2&gt;499,$D$2*C79,IF($D$2&gt;249,$D$2*C78,IF($D$2&gt;99,$D$2*C77,IF($D$2&gt;49,$D$2*C76,IF($D$2&gt;24,$D$2*C75,IF($D$2&gt;9,$D$2*C74,IF($D$2&gt;4,$D$2*C73,0))))))))</f>
        <v>0</v>
      </c>
      <c r="N72" s="675">
        <f>IF('[1]Total Price List'!$C$4&gt;0,(M72-(M72*'[1]Total Price List'!$C$4)),M72)</f>
        <v>0</v>
      </c>
      <c r="O72" s="652"/>
    </row>
    <row r="73" spans="1:15" ht="14.45" customHeight="1" x14ac:dyDescent="0.25">
      <c r="A73" s="776"/>
      <c r="B73" s="784">
        <v>5</v>
      </c>
      <c r="C73" s="785">
        <f>VLOOKUP(21911,'Total Price List'!$B$8:$J$1194,8,0)</f>
        <v>36.480000000000004</v>
      </c>
      <c r="D73" s="785">
        <f>VLOOKUP(21921,'Total Price List'!$B$8:$J$1194,8,0)</f>
        <v>56.879999999999995</v>
      </c>
      <c r="E73" s="785">
        <f>VLOOKUP(21931,'Total Price List'!$B$8:$J$1194,8,0)</f>
        <v>72.179999999999993</v>
      </c>
      <c r="F73" s="783"/>
      <c r="G73" s="655"/>
      <c r="H73" s="676"/>
      <c r="I73" s="819"/>
      <c r="J73" s="767"/>
      <c r="K73" s="677" t="s">
        <v>821</v>
      </c>
      <c r="L73" s="677"/>
      <c r="M73" s="678"/>
      <c r="N73" s="678"/>
      <c r="O73" s="652"/>
    </row>
    <row r="74" spans="1:15" ht="14.45" customHeight="1" x14ac:dyDescent="0.25">
      <c r="A74" s="776"/>
      <c r="B74" s="784">
        <v>10</v>
      </c>
      <c r="C74" s="785">
        <f>VLOOKUP(21912,'Total Price List'!$B$8:$J$1194,8,0)</f>
        <v>24</v>
      </c>
      <c r="D74" s="785">
        <f>VLOOKUP(21922,'Total Price List'!$B$8:$J$1194,8,0)</f>
        <v>43.992000000000004</v>
      </c>
      <c r="E74" s="785">
        <f>VLOOKUP(21932,'Total Price List'!$B$8:$J$1194,8,0)</f>
        <v>58.986000000000004</v>
      </c>
      <c r="F74" s="783"/>
      <c r="G74" s="655"/>
      <c r="H74" s="671">
        <v>2</v>
      </c>
      <c r="I74" s="818">
        <f>$D$2</f>
        <v>0</v>
      </c>
      <c r="J74" s="672">
        <f>IF($D$2&gt;999,21928,IF($D$2&gt;499,21927,IF($D$2&gt;249,21926,IF($D$2&gt;99,21925,IF($D$2&gt;49,21924,IF($D$2&gt;24,21923,IF($D$2&gt;9,21922,IF($D$2&gt;4,21921,0))))))))</f>
        <v>0</v>
      </c>
      <c r="K74" s="674" t="s">
        <v>509</v>
      </c>
      <c r="L74" s="673">
        <f>IF($D$2&gt;999,D80,IF($D$2&gt;499,D79,IF($D$2&gt;249,D78,IF($D$2&gt;99,D77,IF($D$2&gt;49,D76,IF($D$2&gt;24,D75,IF($D$2&gt;9,D74,IF($D$2&gt;4,D73,0))))))))</f>
        <v>0</v>
      </c>
      <c r="M74" s="675">
        <f>IF($D$2&gt;999,$D$2*D80,IF($D$2&gt;499,$D$2*D79,IF($D$2&gt;249,$D$2*D78,IF($D$2&gt;99,$D$2*D77,IF($D$2&gt;49,$D$2*D76,IF($D$2&gt;24,$D$2*D75,IF($D$2&gt;9,$D$2*D74,IF($D$2&gt;4,$D$2*D73,0))))))))</f>
        <v>0</v>
      </c>
      <c r="N74" s="675">
        <f>IF('[1]Total Price List'!$C$4&gt;0,(M74-(M74*'[1]Total Price List'!$C$4)),M74)</f>
        <v>0</v>
      </c>
      <c r="O74" s="652"/>
    </row>
    <row r="75" spans="1:15" ht="14.45" customHeight="1" x14ac:dyDescent="0.25">
      <c r="A75" s="781"/>
      <c r="B75" s="784">
        <v>25</v>
      </c>
      <c r="C75" s="785">
        <f>VLOOKUP(21913,'Total Price List'!$B$8:$J$1194,8,0)</f>
        <v>18.240000000000002</v>
      </c>
      <c r="D75" s="785">
        <f>VLOOKUP(21923,'Total Price List'!$B$8:$J$1194,8,0)</f>
        <v>35.049600000000005</v>
      </c>
      <c r="E75" s="785">
        <f>VLOOKUP(21933,'Total Price List'!$B$8:$J$1194,8,0)</f>
        <v>47.656800000000004</v>
      </c>
      <c r="F75" s="783"/>
      <c r="G75" s="655"/>
      <c r="H75" s="676"/>
      <c r="I75" s="819"/>
      <c r="J75" s="767"/>
      <c r="K75" s="677" t="s">
        <v>822</v>
      </c>
      <c r="L75" s="677"/>
      <c r="M75" s="678"/>
      <c r="N75" s="678"/>
      <c r="O75" s="652"/>
    </row>
    <row r="76" spans="1:15" ht="14.45" customHeight="1" x14ac:dyDescent="0.25">
      <c r="A76" s="776"/>
      <c r="B76" s="784">
        <v>50</v>
      </c>
      <c r="C76" s="785">
        <f>VLOOKUP(21914,'Total Price List'!$B$8:$J$1194,8,0)</f>
        <v>16.32</v>
      </c>
      <c r="D76" s="785">
        <f>VLOOKUP(21924,'Total Price List'!$B$8:$J$1194,8,0)</f>
        <v>32.068800000000003</v>
      </c>
      <c r="E76" s="785">
        <f>VLOOKUP(21934,'Total Price List'!$B$8:$J$1194,8,0)</f>
        <v>43.880399999999995</v>
      </c>
      <c r="F76" s="786"/>
      <c r="G76" s="655"/>
      <c r="H76" s="671">
        <v>3</v>
      </c>
      <c r="I76" s="818">
        <f>$D$2</f>
        <v>0</v>
      </c>
      <c r="J76" s="672">
        <f>IF($D$2&gt;999,21938,IF($D$2&gt;499,21937,IF($D$2&gt;249,21936,IF($D$2&gt;99,21935,IF($D$2&gt;49,21934,IF($D$2&gt;24,21933,IF($D$2&gt;9,21932,IF($D$2&gt;4,21931,0))))))))</f>
        <v>0</v>
      </c>
      <c r="K76" s="674" t="s">
        <v>509</v>
      </c>
      <c r="L76" s="673">
        <f>IF($D$2&gt;999,E80,IF($D$2&gt;499,E79,IF($D$2&gt;249,E78,IF($D$2&gt;99,E77,IF($D$2&gt;49,E76,IF($D$2&gt;24,E75,IF($D$2&gt;9,E74,IF($D$2&gt;4,E73,0))))))))</f>
        <v>0</v>
      </c>
      <c r="M76" s="675">
        <f>IF($D$2&gt;999,$D$2*E80,IF($D$2&gt;499,$D$2*E79,IF($D$2&gt;249,$D$2*E78,IF($D$2&gt;99,$D$2*E77,IF($D$2&gt;49,$D$2*E76,IF($D$2&gt;24,$D$2*E75,IF($D$2&gt;9,$D$2*E74,IF($D$2&gt;4,$D$2*E73,0))))))))</f>
        <v>0</v>
      </c>
      <c r="N76" s="675">
        <f>IF('[1]Total Price List'!$C$4&gt;0,(M76-(M76*'[1]Total Price List'!$C$4)),M76)</f>
        <v>0</v>
      </c>
      <c r="O76" s="652"/>
    </row>
    <row r="77" spans="1:15" x14ac:dyDescent="0.25">
      <c r="A77" s="776"/>
      <c r="B77" s="784">
        <v>100</v>
      </c>
      <c r="C77" s="785">
        <f>VLOOKUP(21915,'Total Price List'!$B$8:$J$1194,8,0)</f>
        <v>13.440000000000001</v>
      </c>
      <c r="D77" s="785">
        <f>VLOOKUP(21925,'Total Price List'!$B$8:$J$1194,8,0)</f>
        <v>26.2104</v>
      </c>
      <c r="E77" s="785">
        <f>VLOOKUP(21935,'Total Price List'!$B$8:$J$1194,8,0)</f>
        <v>35.788200000000003</v>
      </c>
      <c r="F77" s="786"/>
      <c r="G77" s="655"/>
      <c r="H77" s="680"/>
      <c r="I77" s="820"/>
      <c r="J77" s="769"/>
      <c r="K77" s="681" t="s">
        <v>823</v>
      </c>
      <c r="L77" s="681"/>
      <c r="M77" s="682"/>
      <c r="N77" s="682"/>
      <c r="O77" s="652"/>
    </row>
    <row r="78" spans="1:15" ht="14.45" customHeight="1" x14ac:dyDescent="0.25">
      <c r="A78" s="776"/>
      <c r="B78" s="784">
        <v>250</v>
      </c>
      <c r="C78" s="785">
        <f>VLOOKUP(21916,'Total Price List'!$B$8:$J$1194,8,0)</f>
        <v>11.52</v>
      </c>
      <c r="D78" s="785">
        <f>VLOOKUP(21926,'Total Price List'!$B$8:$J$1194,8,0)</f>
        <v>21.524159999999998</v>
      </c>
      <c r="E78" s="785">
        <f>VLOOKUP(21936,'Total Price List'!$B$8:$J$1194,8,0)</f>
        <v>29.027279999999998</v>
      </c>
      <c r="F78" s="786"/>
      <c r="G78" s="655"/>
      <c r="H78" s="677"/>
      <c r="I78" s="677"/>
      <c r="J78" s="767"/>
      <c r="K78" s="677"/>
      <c r="L78" s="677"/>
      <c r="M78" s="677"/>
      <c r="N78" s="677"/>
      <c r="O78" s="652"/>
    </row>
    <row r="79" spans="1:15" ht="14.45" customHeight="1" x14ac:dyDescent="0.25">
      <c r="A79" s="776"/>
      <c r="B79" s="784">
        <v>500</v>
      </c>
      <c r="C79" s="785">
        <f>VLOOKUP(21917,'Total Price List'!$B$8:$J$1194,8,0)</f>
        <v>9.6000000000000014</v>
      </c>
      <c r="D79" s="785">
        <f>VLOOKUP(21927,'Total Price List'!$B$8:$J$1194,8,0)</f>
        <v>18.274079999999998</v>
      </c>
      <c r="E79" s="785">
        <f>VLOOKUP(21937,'Total Price List'!$B$8:$J$1194,8,0)</f>
        <v>24.779640000000001</v>
      </c>
      <c r="F79" s="786"/>
      <c r="G79" s="655"/>
      <c r="H79" s="928"/>
      <c r="I79" s="928"/>
      <c r="J79" s="683"/>
      <c r="K79" s="684"/>
      <c r="L79" s="683"/>
      <c r="M79" s="684"/>
      <c r="N79" s="684"/>
      <c r="O79" s="652"/>
    </row>
    <row r="80" spans="1:15" ht="14.45" customHeight="1" x14ac:dyDescent="0.25">
      <c r="A80" s="776"/>
      <c r="B80" s="784">
        <v>1000</v>
      </c>
      <c r="C80" s="785">
        <f>VLOOKUP(21918,'Total Price List'!$B$8:$J$1194,8,0)</f>
        <v>8.6399999999999988</v>
      </c>
      <c r="D80" s="785">
        <f>VLOOKUP(21928,'Total Price List'!$B$8:$J$1194,8,0)</f>
        <v>16.0656</v>
      </c>
      <c r="E80" s="785">
        <f>VLOOKUP(21938,'Total Price List'!$B$8:$J$1194,8,0)</f>
        <v>22.430399999999999</v>
      </c>
      <c r="F80" s="786"/>
      <c r="G80" s="655"/>
      <c r="H80" s="684"/>
      <c r="I80" s="684"/>
      <c r="J80" s="683"/>
      <c r="K80" s="686"/>
      <c r="L80" s="683"/>
      <c r="M80" s="684"/>
      <c r="N80" s="684"/>
      <c r="O80" s="652"/>
    </row>
    <row r="81" spans="1:15" ht="14.45" customHeight="1" x14ac:dyDescent="0.25">
      <c r="A81" s="781"/>
      <c r="B81" s="787"/>
      <c r="C81" s="788"/>
      <c r="D81" s="789"/>
      <c r="E81" s="790"/>
      <c r="F81" s="791"/>
      <c r="G81" s="655"/>
      <c r="H81" s="687"/>
      <c r="I81" s="688"/>
      <c r="J81" s="689"/>
      <c r="K81" s="691"/>
      <c r="L81" s="692"/>
      <c r="M81" s="690"/>
      <c r="N81" s="690"/>
      <c r="O81" s="652"/>
    </row>
    <row r="82" spans="1:15" ht="14.45" customHeight="1" x14ac:dyDescent="0.25">
      <c r="A82" s="776"/>
      <c r="B82" s="792">
        <f>$D$2</f>
        <v>0</v>
      </c>
      <c r="C82" s="793">
        <f>IF($D$2&gt;999,$D$2*C80,IF($D$2&gt;499,$D$2*C79,IF($D$2&gt;249,$D$2*C78,IF($D$2&gt;99,$D$2*C77,IF($D$2&gt;49,$D$2*C76,IF($D$2&gt;24,$D$2*C75,IF($D$2&gt;9,$D$2*C74,IF($D$2&gt;4,$D$2*C73,0))))))))</f>
        <v>0</v>
      </c>
      <c r="D82" s="793">
        <f>IF($D$2&gt;999,$D$2*D80,IF($D$2&gt;499,$D$2*D79,IF($D$2&gt;249,$D$2*D78,IF($D$2&gt;99,$D$2*D77,IF($D$2&gt;49,$D$2*D76,IF($D$2&gt;24,$D$2*D75,IF($D$2&gt;9,$D$2*D74,IF($D$2&gt;4,$D$2*D73,0))))))))</f>
        <v>0</v>
      </c>
      <c r="E82" s="793">
        <f>IF($D$2&gt;999,$D$2*E80,IF($D$2&gt;499,$D$2*E79,IF($D$2&gt;249,$D$2*E78,IF($D$2&gt;99,$D$2*E77,IF($D$2&gt;49,$D$2*E76,IF($D$2&gt;24,$D$2*E75,IF($D$2&gt;9,$D$2*E74,IF($D$2&gt;4,$D$2*E73,0))))))))</f>
        <v>0</v>
      </c>
      <c r="F82" s="794"/>
      <c r="G82" s="655"/>
      <c r="H82" s="659"/>
      <c r="I82" s="659"/>
      <c r="J82" s="770"/>
      <c r="K82" s="659"/>
      <c r="L82" s="659"/>
      <c r="M82" s="659"/>
      <c r="N82" s="659"/>
      <c r="O82" s="652"/>
    </row>
    <row r="83" spans="1:15" ht="14.45" customHeight="1" x14ac:dyDescent="0.25">
      <c r="A83" s="781"/>
      <c r="B83" s="795" t="s">
        <v>811</v>
      </c>
      <c r="C83" s="796">
        <f>IF(C82&gt;0,C82/$D$2,0)</f>
        <v>0</v>
      </c>
      <c r="D83" s="796">
        <f t="shared" ref="D83:E83" si="4">IF(D82&gt;0,D82/$D$2,0)</f>
        <v>0</v>
      </c>
      <c r="E83" s="796">
        <f t="shared" si="4"/>
        <v>0</v>
      </c>
      <c r="F83" s="783"/>
      <c r="G83" s="655"/>
      <c r="H83" s="687"/>
      <c r="I83" s="688"/>
      <c r="J83" s="689"/>
      <c r="K83" s="691"/>
      <c r="L83" s="692"/>
      <c r="M83" s="690"/>
      <c r="N83" s="690"/>
      <c r="O83" s="652"/>
    </row>
    <row r="84" spans="1:15" ht="14.45" customHeight="1" x14ac:dyDescent="0.25">
      <c r="A84" s="759"/>
      <c r="B84" s="760"/>
      <c r="C84" s="761"/>
      <c r="D84" s="761"/>
      <c r="E84" s="761"/>
      <c r="F84" s="762"/>
      <c r="G84" s="655"/>
      <c r="H84" s="659"/>
      <c r="I84" s="659"/>
      <c r="J84" s="770"/>
      <c r="K84" s="659"/>
      <c r="L84" s="659"/>
      <c r="M84" s="659"/>
      <c r="N84" s="659"/>
      <c r="O84" s="652"/>
    </row>
    <row r="85" spans="1:15" ht="14.45" customHeight="1" x14ac:dyDescent="0.25">
      <c r="A85" s="655"/>
      <c r="B85" s="655"/>
      <c r="C85" s="655"/>
      <c r="D85" s="655"/>
      <c r="E85" s="655"/>
      <c r="F85" s="655"/>
      <c r="G85" s="655"/>
      <c r="H85" s="687"/>
      <c r="I85" s="688"/>
      <c r="J85" s="689"/>
      <c r="K85" s="691"/>
      <c r="L85" s="692"/>
      <c r="M85" s="690"/>
      <c r="N85" s="690"/>
      <c r="O85" s="652"/>
    </row>
    <row r="86" spans="1:15" ht="15.75" x14ac:dyDescent="0.25">
      <c r="A86" s="935" t="s">
        <v>972</v>
      </c>
      <c r="B86" s="936"/>
      <c r="C86" s="936"/>
      <c r="D86" s="936"/>
      <c r="E86" s="936"/>
      <c r="F86" s="937"/>
      <c r="G86" s="655"/>
      <c r="H86" s="884" t="s">
        <v>812</v>
      </c>
      <c r="I86" s="885"/>
      <c r="J86" s="661" t="s">
        <v>815</v>
      </c>
      <c r="K86" s="662" t="s">
        <v>824</v>
      </c>
      <c r="L86" s="661" t="s">
        <v>826</v>
      </c>
      <c r="M86" s="663" t="s">
        <v>818</v>
      </c>
      <c r="N86" s="663" t="s">
        <v>820</v>
      </c>
      <c r="O86" s="652"/>
    </row>
    <row r="87" spans="1:15" ht="14.45" customHeight="1" x14ac:dyDescent="0.25">
      <c r="A87" s="797"/>
      <c r="B87" s="798"/>
      <c r="C87" s="799" t="s">
        <v>806</v>
      </c>
      <c r="D87" s="800"/>
      <c r="E87" s="800"/>
      <c r="F87" s="801"/>
      <c r="G87" s="655"/>
      <c r="H87" s="666" t="s">
        <v>814</v>
      </c>
      <c r="I87" s="667" t="s">
        <v>813</v>
      </c>
      <c r="J87" s="668" t="s">
        <v>816</v>
      </c>
      <c r="K87" s="669" t="s">
        <v>18</v>
      </c>
      <c r="L87" s="668" t="s">
        <v>817</v>
      </c>
      <c r="M87" s="670" t="s">
        <v>819</v>
      </c>
      <c r="N87" s="670" t="s">
        <v>819</v>
      </c>
      <c r="O87" s="652"/>
    </row>
    <row r="88" spans="1:15" ht="14.45" customHeight="1" x14ac:dyDescent="0.25">
      <c r="A88" s="802"/>
      <c r="B88" s="803" t="s">
        <v>805</v>
      </c>
      <c r="C88" s="803" t="s">
        <v>807</v>
      </c>
      <c r="D88" s="803" t="s">
        <v>808</v>
      </c>
      <c r="E88" s="803" t="s">
        <v>809</v>
      </c>
      <c r="F88" s="804"/>
      <c r="G88" s="655"/>
      <c r="H88" s="671">
        <v>1</v>
      </c>
      <c r="I88" s="818">
        <f>$D$2</f>
        <v>0</v>
      </c>
      <c r="J88" s="672">
        <f>IF($D$2&gt;999,22018,IF($D$2&gt;499,22017,IF($D$2&gt;249,22016,IF($D$2&gt;99,22015,IF($D$2&gt;49,22014,IF($D$2&gt;24,22013,IF($D$2&gt;9,22012,IF($D$2&gt;4,22011,0))))))))</f>
        <v>0</v>
      </c>
      <c r="K88" s="674" t="s">
        <v>972</v>
      </c>
      <c r="L88" s="673">
        <f>IF($D$2&gt;999,C96,IF($D$2&gt;499,C95,IF($D$2&gt;249,C94,IF($D$2&gt;99,C93,IF($D$2&gt;49,C92,IF($D$2&gt;24,C91,IF($D$2&gt;9,C90,IF($D$2&gt;4,C89,0))))))))</f>
        <v>0</v>
      </c>
      <c r="M88" s="675">
        <f>IF($D$2&gt;999,$D$2*C96,IF($D$2&gt;499,$D$2*C95,IF($D$2&gt;249,$D$2*C94,IF($D$2&gt;99,$D$2*C93,IF($D$2&gt;49,$D$2*C92,IF($D$2&gt;24,$D$2*C91,IF($D$2&gt;9,$D$2*C90,IF($D$2&gt;4,$D$2*C89,0))))))))</f>
        <v>0</v>
      </c>
      <c r="N88" s="675">
        <f>IF('[1]Total Price List'!$C$4&gt;0,(M88-(M88*'[1]Total Price List'!$C$4)),M88)</f>
        <v>0</v>
      </c>
      <c r="O88" s="652"/>
    </row>
    <row r="89" spans="1:15" ht="14.45" customHeight="1" x14ac:dyDescent="0.25">
      <c r="A89" s="797"/>
      <c r="B89" s="805">
        <v>5</v>
      </c>
      <c r="C89" s="806">
        <f>VLOOKUP(22011,'Total Price List'!$B$8:$J$1194,8,0)</f>
        <v>43.776000000000003</v>
      </c>
      <c r="D89" s="806">
        <f>VLOOKUP(22021,'Total Price List'!$B$8:$J$1194,8,0)</f>
        <v>68.256</v>
      </c>
      <c r="E89" s="806">
        <f>VLOOKUP(22031,'Total Price List'!$B$8:$J$1194,8,0)</f>
        <v>86.616</v>
      </c>
      <c r="F89" s="804"/>
      <c r="G89" s="655"/>
      <c r="H89" s="676"/>
      <c r="I89" s="819"/>
      <c r="J89" s="767"/>
      <c r="K89" s="677" t="s">
        <v>821</v>
      </c>
      <c r="L89" s="677"/>
      <c r="M89" s="678"/>
      <c r="N89" s="678"/>
      <c r="O89" s="652"/>
    </row>
    <row r="90" spans="1:15" ht="14.45" customHeight="1" x14ac:dyDescent="0.25">
      <c r="A90" s="797"/>
      <c r="B90" s="805">
        <v>10</v>
      </c>
      <c r="C90" s="806">
        <f>VLOOKUP(22012,'Total Price List'!$B$8:$J$1194,8,0)</f>
        <v>28.8</v>
      </c>
      <c r="D90" s="806">
        <f>VLOOKUP(22022,'Total Price List'!$B$8:$J$1194,8,0)</f>
        <v>52.790400000000005</v>
      </c>
      <c r="E90" s="806">
        <f>VLOOKUP(22032,'Total Price List'!$B$8:$J$1194,8,0)</f>
        <v>70.783200000000008</v>
      </c>
      <c r="F90" s="804"/>
      <c r="G90" s="655"/>
      <c r="H90" s="671">
        <v>2</v>
      </c>
      <c r="I90" s="818">
        <f>$D$2</f>
        <v>0</v>
      </c>
      <c r="J90" s="672">
        <f>IF($D$2&gt;999,22028,IF($D$2&gt;499,22027,IF($D$2&gt;249,22026,IF($D$2&gt;99,22025,IF($D$2&gt;49,22024,IF($D$2&gt;24,22023,IF($D$2&gt;9,22022,IF($D$2&gt;4,22021,0))))))))</f>
        <v>0</v>
      </c>
      <c r="K90" s="674" t="s">
        <v>972</v>
      </c>
      <c r="L90" s="673">
        <f>IF($D$2&gt;999,D96,IF($D$2&gt;499,D95,IF($D$2&gt;249,D94,IF($D$2&gt;99,D93,IF($D$2&gt;49,D92,IF($D$2&gt;24,D91,IF($D$2&gt;9,D90,IF($D$2&gt;4,D89,0))))))))</f>
        <v>0</v>
      </c>
      <c r="M90" s="675">
        <f>IF($D$2&gt;999,$D$2*D96,IF($D$2&gt;499,$D$2*D95,IF($D$2&gt;249,$D$2*D94,IF($D$2&gt;99,$D$2*D93,IF($D$2&gt;49,$D$2*D92,IF($D$2&gt;24,$D$2*D91,IF($D$2&gt;9,$D$2*D90,IF($D$2&gt;4,$D$2*D89,0))))))))</f>
        <v>0</v>
      </c>
      <c r="N90" s="675">
        <f>IF('[1]Total Price List'!$C$4&gt;0,(M90-(M90*'[1]Total Price List'!$C$4)),M90)</f>
        <v>0</v>
      </c>
      <c r="O90" s="652"/>
    </row>
    <row r="91" spans="1:15" ht="14.45" customHeight="1" x14ac:dyDescent="0.25">
      <c r="A91" s="802"/>
      <c r="B91" s="805">
        <v>25</v>
      </c>
      <c r="C91" s="806">
        <f>VLOOKUP(22013,'Total Price List'!$B$8:$J$1194,8,0)</f>
        <v>21.888000000000002</v>
      </c>
      <c r="D91" s="806">
        <f>VLOOKUP(22023,'Total Price List'!$B$8:$J$1194,8,0)</f>
        <v>42.059520000000006</v>
      </c>
      <c r="E91" s="806">
        <f>VLOOKUP(22033,'Total Price List'!$B$8:$J$1194,8,0)</f>
        <v>57.188159999999996</v>
      </c>
      <c r="F91" s="804"/>
      <c r="G91" s="655"/>
      <c r="H91" s="676"/>
      <c r="I91" s="819"/>
      <c r="J91" s="767"/>
      <c r="K91" s="677" t="s">
        <v>822</v>
      </c>
      <c r="L91" s="677"/>
      <c r="M91" s="678"/>
      <c r="N91" s="678"/>
      <c r="O91" s="652"/>
    </row>
    <row r="92" spans="1:15" ht="14.45" customHeight="1" x14ac:dyDescent="0.25">
      <c r="A92" s="797"/>
      <c r="B92" s="805">
        <v>50</v>
      </c>
      <c r="C92" s="806">
        <f>VLOOKUP(22014,'Total Price List'!$B$8:$J$1194,8,0)</f>
        <v>19.584</v>
      </c>
      <c r="D92" s="806">
        <f>VLOOKUP(22024,'Total Price List'!$B$8:$J$1194,8,0)</f>
        <v>38.482559999999999</v>
      </c>
      <c r="E92" s="806">
        <f>VLOOKUP(22034,'Total Price List'!$B$8:$J$1194,8,0)</f>
        <v>52.656479999999988</v>
      </c>
      <c r="F92" s="807"/>
      <c r="G92" s="655"/>
      <c r="H92" s="671">
        <v>3</v>
      </c>
      <c r="I92" s="818">
        <f>$D$2</f>
        <v>0</v>
      </c>
      <c r="J92" s="672">
        <f>IF($D$2&gt;999,22038,IF($D$2&gt;499,22037,IF($D$2&gt;249,22036,IF($D$2&gt;99,22035,IF($D$2&gt;49,22034,IF($D$2&gt;24,22033,IF($D$2&gt;9,22032,IF($D$2&gt;4,22031,0))))))))</f>
        <v>0</v>
      </c>
      <c r="K92" s="674" t="s">
        <v>972</v>
      </c>
      <c r="L92" s="673">
        <f>IF($D$2&gt;999,E96,IF($D$2&gt;499,E95,IF($D$2&gt;249,E94,IF($D$2&gt;99,E93,IF($D$2&gt;49,E92,IF($D$2&gt;24,E91,IF($D$2&gt;9,E90,IF($D$2&gt;4,E89,0))))))))</f>
        <v>0</v>
      </c>
      <c r="M92" s="675">
        <f>IF($D$2&gt;999,$D$2*E96,IF($D$2&gt;499,$D$2*E95,IF($D$2&gt;249,$D$2*E94,IF($D$2&gt;99,$D$2*E93,IF($D$2&gt;49,$D$2*E92,IF($D$2&gt;24,$D$2*E91,IF($D$2&gt;9,$D$2*E90,IF($D$2&gt;4,$D$2*E89,0))))))))</f>
        <v>0</v>
      </c>
      <c r="N92" s="675">
        <f>IF('[1]Total Price List'!$C$4&gt;0,(M92-(M92*'[1]Total Price List'!$C$4)),M92)</f>
        <v>0</v>
      </c>
      <c r="O92" s="652"/>
    </row>
    <row r="93" spans="1:15" ht="14.45" customHeight="1" x14ac:dyDescent="0.25">
      <c r="A93" s="797"/>
      <c r="B93" s="805">
        <v>100</v>
      </c>
      <c r="C93" s="806">
        <f>VLOOKUP(22015,'Total Price List'!$B$8:$J$1194,8,0)</f>
        <v>16.128</v>
      </c>
      <c r="D93" s="806">
        <f>VLOOKUP(22025,'Total Price List'!$B$8:$J$1194,8,0)</f>
        <v>31.452479999999998</v>
      </c>
      <c r="E93" s="806">
        <f>VLOOKUP(22035,'Total Price List'!$B$8:$J$1194,8,0)</f>
        <v>42.945840000000004</v>
      </c>
      <c r="F93" s="807"/>
      <c r="G93" s="655"/>
      <c r="H93" s="680"/>
      <c r="I93" s="820"/>
      <c r="J93" s="769"/>
      <c r="K93" s="681" t="s">
        <v>823</v>
      </c>
      <c r="L93" s="681"/>
      <c r="M93" s="682"/>
      <c r="N93" s="682"/>
      <c r="O93" s="652"/>
    </row>
    <row r="94" spans="1:15" ht="14.45" customHeight="1" x14ac:dyDescent="0.25">
      <c r="A94" s="797"/>
      <c r="B94" s="805">
        <v>250</v>
      </c>
      <c r="C94" s="806">
        <f>VLOOKUP(22016,'Total Price List'!$B$8:$J$1194,8,0)</f>
        <v>13.823999999999998</v>
      </c>
      <c r="D94" s="806">
        <f>VLOOKUP(22026,'Total Price List'!$B$8:$J$1194,8,0)</f>
        <v>25.828991999999996</v>
      </c>
      <c r="E94" s="806">
        <f>VLOOKUP(22036,'Total Price List'!$B$8:$J$1194,8,0)</f>
        <v>34.832735999999997</v>
      </c>
      <c r="F94" s="807"/>
      <c r="G94" s="655"/>
      <c r="H94" s="677"/>
      <c r="I94" s="677"/>
      <c r="J94" s="767"/>
      <c r="K94" s="677"/>
      <c r="L94" s="677"/>
      <c r="M94" s="677"/>
      <c r="N94" s="677"/>
      <c r="O94" s="652"/>
    </row>
    <row r="95" spans="1:15" x14ac:dyDescent="0.25">
      <c r="A95" s="797"/>
      <c r="B95" s="805">
        <v>500</v>
      </c>
      <c r="C95" s="806">
        <f>VLOOKUP(22017,'Total Price List'!$B$8:$J$1194,8,0)</f>
        <v>11.52</v>
      </c>
      <c r="D95" s="806">
        <f>VLOOKUP(22027,'Total Price List'!$B$8:$J$1194,8,0)</f>
        <v>21.928895999999998</v>
      </c>
      <c r="E95" s="806">
        <f>VLOOKUP(22037,'Total Price List'!$B$8:$J$1194,8,0)</f>
        <v>29.735568000000001</v>
      </c>
      <c r="F95" s="807"/>
      <c r="G95" s="655"/>
      <c r="H95" s="928"/>
      <c r="I95" s="928"/>
      <c r="J95" s="683"/>
      <c r="K95" s="684"/>
      <c r="L95" s="683"/>
      <c r="M95" s="684"/>
      <c r="N95" s="684"/>
      <c r="O95" s="652"/>
    </row>
    <row r="96" spans="1:15" ht="14.45" customHeight="1" x14ac:dyDescent="0.25">
      <c r="A96" s="802"/>
      <c r="B96" s="805">
        <v>1000</v>
      </c>
      <c r="C96" s="806">
        <f>VLOOKUP(22018,'Total Price List'!$B$8:$J$1194,8,0)</f>
        <v>10.368</v>
      </c>
      <c r="D96" s="806">
        <f>VLOOKUP(22028,'Total Price List'!$B$8:$J$1194,8,0)</f>
        <v>19.278719999999996</v>
      </c>
      <c r="E96" s="806">
        <f>VLOOKUP(22038,'Total Price List'!$B$8:$J$1194,8,0)</f>
        <v>26.916479999999996</v>
      </c>
      <c r="F96" s="811"/>
      <c r="G96" s="655"/>
      <c r="H96" s="684"/>
      <c r="I96" s="684"/>
      <c r="J96" s="683"/>
      <c r="K96" s="686"/>
      <c r="L96" s="683"/>
      <c r="M96" s="684"/>
      <c r="N96" s="684"/>
      <c r="O96" s="652"/>
    </row>
    <row r="97" spans="1:15" ht="14.45" customHeight="1" x14ac:dyDescent="0.25">
      <c r="A97" s="802"/>
      <c r="B97" s="805"/>
      <c r="C97" s="808"/>
      <c r="D97" s="809"/>
      <c r="E97" s="810"/>
      <c r="F97" s="811"/>
      <c r="G97" s="655"/>
      <c r="H97" s="687"/>
      <c r="I97" s="688"/>
      <c r="J97" s="689"/>
      <c r="K97" s="691"/>
      <c r="L97" s="692"/>
      <c r="M97" s="690"/>
      <c r="N97" s="690"/>
      <c r="O97" s="652"/>
    </row>
    <row r="98" spans="1:15" ht="14.45" customHeight="1" x14ac:dyDescent="0.25">
      <c r="A98" s="797"/>
      <c r="B98" s="812">
        <f>$D$2</f>
        <v>0</v>
      </c>
      <c r="C98" s="813">
        <f>IF($D$2&gt;999,$D$2*C96,IF($D$2&gt;499,$D$2*C95,IF($D$2&gt;249,$D$2*C94,IF($D$2&gt;99,$D$2*C93,IF($D$2&gt;49,$D$2*C92,IF($D$2&gt;24,$D$2*C91,IF($D$2&gt;9,$D$2*C90,IF($D$2&gt;4,$D$2*C89,0))))))))</f>
        <v>0</v>
      </c>
      <c r="D98" s="813">
        <f>IF($D$2&gt;999,$D$2*D96,IF($D$2&gt;499,$D$2*D95,IF($D$2&gt;249,$D$2*D94,IF($D$2&gt;99,$D$2*D93,IF($D$2&gt;49,$D$2*D92,IF($D$2&gt;24,$D$2*D91,IF($D$2&gt;9,$D$2*D90,IF($D$2&gt;4,$D$2*D89,0))))))))</f>
        <v>0</v>
      </c>
      <c r="E98" s="813">
        <f>IF($D$2&gt;999,$D$2*E96,IF($D$2&gt;499,$D$2*E95,IF($D$2&gt;249,$D$2*E94,IF($D$2&gt;99,$D$2*E93,IF($D$2&gt;49,$D$2*E92,IF($D$2&gt;24,$D$2*E91,IF($D$2&gt;9,$D$2*E90,IF($D$2&gt;4,$D$2*E89,0))))))))</f>
        <v>0</v>
      </c>
      <c r="F98" s="814"/>
      <c r="G98" s="655"/>
      <c r="H98" s="659"/>
      <c r="I98" s="659"/>
      <c r="J98" s="770"/>
      <c r="K98" s="659"/>
      <c r="L98" s="659"/>
      <c r="M98" s="659"/>
      <c r="N98" s="659"/>
      <c r="O98" s="652"/>
    </row>
    <row r="99" spans="1:15" ht="14.45" customHeight="1" x14ac:dyDescent="0.25">
      <c r="A99" s="802"/>
      <c r="B99" s="815" t="s">
        <v>811</v>
      </c>
      <c r="C99" s="816">
        <f>IF(C98&gt;0,C98/$D$2,0)</f>
        <v>0</v>
      </c>
      <c r="D99" s="816">
        <f t="shared" ref="D99:E99" si="5">IF(D98&gt;0,D98/$D$2,0)</f>
        <v>0</v>
      </c>
      <c r="E99" s="816">
        <f t="shared" si="5"/>
        <v>0</v>
      </c>
      <c r="F99" s="804"/>
      <c r="G99" s="655"/>
      <c r="H99" s="687"/>
      <c r="I99" s="688"/>
      <c r="J99" s="689"/>
      <c r="K99" s="691"/>
      <c r="L99" s="692"/>
      <c r="M99" s="690"/>
      <c r="N99" s="690"/>
      <c r="O99" s="652"/>
    </row>
    <row r="100" spans="1:15" ht="14.45" customHeight="1" x14ac:dyDescent="0.25">
      <c r="A100" s="763"/>
      <c r="B100" s="764"/>
      <c r="C100" s="765"/>
      <c r="D100" s="765"/>
      <c r="E100" s="765"/>
      <c r="F100" s="766"/>
      <c r="G100" s="655"/>
      <c r="H100" s="659"/>
      <c r="I100" s="659"/>
      <c r="J100" s="770"/>
      <c r="K100" s="659"/>
      <c r="L100" s="659"/>
      <c r="M100" s="659"/>
      <c r="N100" s="659"/>
      <c r="O100" s="652"/>
    </row>
    <row r="101" spans="1:15" ht="14.45" customHeight="1" x14ac:dyDescent="0.25">
      <c r="A101" s="655"/>
      <c r="B101" s="655"/>
      <c r="C101" s="655"/>
      <c r="D101" s="655"/>
      <c r="E101" s="655"/>
      <c r="F101" s="655"/>
      <c r="G101" s="655"/>
      <c r="H101" s="687"/>
      <c r="I101" s="688"/>
      <c r="J101" s="689"/>
      <c r="K101" s="691"/>
      <c r="L101" s="692"/>
      <c r="M101" s="690"/>
      <c r="N101" s="690"/>
      <c r="O101" s="652"/>
    </row>
    <row r="102" spans="1:15" ht="14.45" customHeight="1" x14ac:dyDescent="0.25">
      <c r="A102" s="655"/>
      <c r="B102" s="655"/>
      <c r="C102" s="655"/>
      <c r="D102" s="655"/>
      <c r="E102" s="655"/>
      <c r="F102" s="655"/>
      <c r="G102" s="655"/>
      <c r="H102" s="659"/>
      <c r="I102" s="659"/>
      <c r="J102" s="770"/>
      <c r="K102" s="659"/>
      <c r="L102" s="659"/>
      <c r="M102" s="659"/>
      <c r="N102" s="659"/>
      <c r="O102" s="652"/>
    </row>
    <row r="103" spans="1:15" ht="14.45" customHeight="1" x14ac:dyDescent="0.25">
      <c r="A103" s="655"/>
      <c r="B103" s="655"/>
      <c r="C103" s="655"/>
      <c r="D103" s="655"/>
      <c r="E103" s="655"/>
      <c r="F103" s="655"/>
      <c r="G103" s="655"/>
      <c r="H103" s="655"/>
      <c r="I103" s="655"/>
      <c r="J103" s="655"/>
      <c r="K103" s="664"/>
      <c r="L103" s="655"/>
      <c r="M103" s="655"/>
      <c r="N103" s="655"/>
      <c r="O103" s="652"/>
    </row>
    <row r="104" spans="1:15" ht="6.6" customHeight="1" x14ac:dyDescent="0.25">
      <c r="A104" s="655"/>
      <c r="B104" s="655"/>
      <c r="C104" s="655"/>
      <c r="D104" s="655"/>
      <c r="E104" s="655"/>
      <c r="F104" s="655"/>
      <c r="G104" s="655"/>
      <c r="H104" s="655"/>
      <c r="I104" s="655"/>
      <c r="J104" s="655"/>
      <c r="K104" s="655"/>
      <c r="L104" s="655"/>
      <c r="M104" s="655"/>
      <c r="N104" s="655"/>
      <c r="O104" s="652"/>
    </row>
    <row r="105" spans="1:15" ht="14.45" customHeight="1" x14ac:dyDescent="0.25">
      <c r="A105" s="655"/>
      <c r="B105" s="655"/>
      <c r="C105" s="655"/>
      <c r="D105" s="655"/>
      <c r="E105" s="655"/>
      <c r="F105" s="655"/>
      <c r="G105" s="655"/>
      <c r="H105" s="655"/>
      <c r="I105" s="655"/>
      <c r="J105" s="655"/>
      <c r="K105" s="655"/>
      <c r="L105" s="655"/>
      <c r="M105" s="655"/>
      <c r="N105" s="655"/>
      <c r="O105" s="652"/>
    </row>
    <row r="106" spans="1:15" ht="14.45" customHeight="1" x14ac:dyDescent="0.25">
      <c r="A106" s="655"/>
      <c r="B106" s="655"/>
      <c r="C106" s="655"/>
      <c r="D106" s="655"/>
      <c r="E106" s="655"/>
      <c r="F106" s="655"/>
      <c r="G106" s="655"/>
      <c r="H106" s="655"/>
      <c r="I106" s="655"/>
      <c r="J106" s="655"/>
      <c r="K106" s="655"/>
      <c r="L106" s="655"/>
      <c r="M106" s="655"/>
      <c r="N106" s="655"/>
      <c r="O106" s="652"/>
    </row>
    <row r="107" spans="1:15" ht="14.45" customHeight="1" x14ac:dyDescent="0.25">
      <c r="A107" s="655"/>
      <c r="B107" s="655"/>
      <c r="C107" s="655"/>
      <c r="D107" s="655"/>
      <c r="E107" s="655"/>
      <c r="F107" s="655"/>
      <c r="G107" s="655"/>
      <c r="H107" s="655"/>
      <c r="I107" s="655"/>
      <c r="J107" s="655"/>
      <c r="K107" s="655"/>
      <c r="L107" s="655"/>
      <c r="M107" s="655"/>
      <c r="N107" s="655"/>
      <c r="O107" s="652"/>
    </row>
    <row r="108" spans="1:15" ht="14.45" customHeight="1" x14ac:dyDescent="0.25">
      <c r="A108" s="655"/>
      <c r="B108" s="655"/>
      <c r="C108" s="655"/>
      <c r="D108" s="655"/>
      <c r="E108" s="655"/>
      <c r="F108" s="655"/>
      <c r="G108" s="655"/>
      <c r="H108" s="655"/>
      <c r="I108" s="655"/>
      <c r="J108" s="655"/>
      <c r="K108" s="655"/>
      <c r="L108" s="655"/>
      <c r="M108" s="655"/>
      <c r="N108" s="655"/>
      <c r="O108" s="652"/>
    </row>
    <row r="109" spans="1:15" ht="14.45" customHeight="1" x14ac:dyDescent="0.25">
      <c r="A109" s="655"/>
      <c r="B109" s="655"/>
      <c r="C109" s="655"/>
      <c r="D109" s="655"/>
      <c r="E109" s="655"/>
      <c r="F109" s="655"/>
      <c r="G109" s="655"/>
      <c r="H109" s="655"/>
      <c r="I109" s="655"/>
      <c r="J109" s="655"/>
      <c r="K109" s="655"/>
      <c r="L109" s="655"/>
      <c r="M109" s="655"/>
      <c r="N109" s="655"/>
      <c r="O109" s="652"/>
    </row>
    <row r="110" spans="1:15" ht="14.45" customHeight="1" x14ac:dyDescent="0.25">
      <c r="A110" s="655"/>
      <c r="B110" s="655"/>
      <c r="C110" s="655"/>
      <c r="D110" s="655"/>
      <c r="E110" s="655"/>
      <c r="F110" s="655"/>
      <c r="G110" s="655"/>
      <c r="H110" s="655"/>
      <c r="I110" s="655"/>
      <c r="J110" s="655"/>
      <c r="K110" s="655"/>
      <c r="L110" s="655"/>
      <c r="M110" s="655"/>
      <c r="N110" s="655"/>
      <c r="O110" s="652"/>
    </row>
    <row r="111" spans="1:15" ht="14.45" customHeight="1" x14ac:dyDescent="0.25">
      <c r="A111" s="655"/>
      <c r="B111" s="655"/>
      <c r="C111" s="655"/>
      <c r="D111" s="655"/>
      <c r="E111" s="655"/>
      <c r="F111" s="655"/>
      <c r="G111" s="655"/>
      <c r="H111" s="655"/>
      <c r="I111" s="655"/>
      <c r="J111" s="655"/>
      <c r="K111" s="655"/>
      <c r="L111" s="655"/>
      <c r="M111" s="655"/>
      <c r="N111" s="655"/>
      <c r="O111" s="652"/>
    </row>
    <row r="112" spans="1:15" ht="14.45" customHeight="1" x14ac:dyDescent="0.25">
      <c r="A112" s="655"/>
      <c r="B112" s="655"/>
      <c r="C112" s="655"/>
      <c r="D112" s="655"/>
      <c r="E112" s="655"/>
      <c r="F112" s="655"/>
      <c r="G112" s="655"/>
      <c r="H112" s="655"/>
      <c r="I112" s="655"/>
      <c r="J112" s="655"/>
      <c r="K112" s="655"/>
      <c r="L112" s="655"/>
      <c r="M112" s="655"/>
      <c r="N112" s="655"/>
      <c r="O112" s="652"/>
    </row>
    <row r="113" spans="1:15" x14ac:dyDescent="0.25">
      <c r="A113" s="631"/>
      <c r="B113" s="631"/>
      <c r="C113" s="631"/>
      <c r="D113" s="631"/>
      <c r="E113" s="631"/>
      <c r="F113" s="631"/>
      <c r="G113" s="631"/>
      <c r="H113" s="631"/>
      <c r="I113" s="631"/>
      <c r="J113" s="631"/>
      <c r="K113" s="631"/>
      <c r="L113" s="631"/>
      <c r="M113" s="631"/>
      <c r="N113" s="631"/>
      <c r="O113" s="631"/>
    </row>
  </sheetData>
  <sheetProtection formatCells="0" formatColumns="0" formatRows="0" selectLockedCells="1"/>
  <protectedRanges>
    <protectedRange algorithmName="SHA-512" hashValue="VV2Ed6saR6H6CxwUNCPFz4pi8WWCL8sZ9IrDLpem/ZLf4fCovE7Cwp6Hlp5yRgfQeKGtoL2QnUEg3pyxXeuMww==" saltValue="i0HmJuMrFpVqi8+QSTRtjA==" spinCount="100000" sqref="D2" name="Bereich1_1"/>
  </protectedRanges>
  <mergeCells count="21">
    <mergeCell ref="A2:C3"/>
    <mergeCell ref="D2:E3"/>
    <mergeCell ref="H2:K2"/>
    <mergeCell ref="A86:F86"/>
    <mergeCell ref="H86:I86"/>
    <mergeCell ref="H79:I79"/>
    <mergeCell ref="H47:I47"/>
    <mergeCell ref="H6:I6"/>
    <mergeCell ref="H15:I15"/>
    <mergeCell ref="A22:F22"/>
    <mergeCell ref="H22:I22"/>
    <mergeCell ref="H31:I31"/>
    <mergeCell ref="A38:F38"/>
    <mergeCell ref="H38:I38"/>
    <mergeCell ref="A6:F6"/>
    <mergeCell ref="H95:I95"/>
    <mergeCell ref="A54:F54"/>
    <mergeCell ref="H54:I54"/>
    <mergeCell ref="H63:I63"/>
    <mergeCell ref="A70:F70"/>
    <mergeCell ref="H70:I7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4</vt:i4>
      </vt:variant>
    </vt:vector>
  </HeadingPairs>
  <TitlesOfParts>
    <vt:vector size="13" baseType="lpstr">
      <vt:lpstr>G Data Contacts</vt:lpstr>
      <vt:lpstr>Total Price List</vt:lpstr>
      <vt:lpstr>Business License</vt:lpstr>
      <vt:lpstr>MUL</vt:lpstr>
      <vt:lpstr>Upgrades</vt:lpstr>
      <vt:lpstr>EDU_GOV</vt:lpstr>
      <vt:lpstr>calculator_license &amp; GOV</vt:lpstr>
      <vt:lpstr>calculator_PM</vt:lpstr>
      <vt:lpstr>calculator_cross</vt:lpstr>
      <vt:lpstr>Cross</vt:lpstr>
      <vt:lpstr>Cross2</vt:lpstr>
      <vt:lpstr>Patch</vt:lpstr>
      <vt:lpstr>Patch2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sarah.wolf</dc:creator>
  <cp:lastModifiedBy>Gambino, Alice</cp:lastModifiedBy>
  <cp:lastPrinted>2012-11-16T11:23:37Z</cp:lastPrinted>
  <dcterms:created xsi:type="dcterms:W3CDTF">2012-05-11T13:19:02Z</dcterms:created>
  <dcterms:modified xsi:type="dcterms:W3CDTF">2014-03-10T09:33:02Z</dcterms:modified>
</cp:coreProperties>
</file>